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6\EXECUTIE BUGETARA 2025\PROIECT EXECUTIE CONSILIU\anexe\"/>
    </mc:Choice>
  </mc:AlternateContent>
  <xr:revisionPtr revIDLastSave="0" documentId="13_ncr:1_{3964630B-B449-4AE1-A673-F0A29EFE4087}" xr6:coauthVersionLast="47" xr6:coauthVersionMax="47" xr10:uidLastSave="{00000000-0000-0000-0000-000000000000}"/>
  <bookViews>
    <workbookView xWindow="-120" yWindow="-120" windowWidth="29040" windowHeight="15840" xr2:uid="{B40CB682-3C8B-4F81-80B1-AA1A340E3C33}"/>
  </bookViews>
  <sheets>
    <sheet name="ANEXA NR.2" sheetId="1" r:id="rId1"/>
  </sheets>
  <externalReferences>
    <externalReference r:id="rId2"/>
    <externalReference r:id="rId3"/>
  </externalReferences>
  <definedNames>
    <definedName name="_xlnm.Database">#REF!</definedName>
    <definedName name="_xlnm.Print_Area" localSheetId="0">'ANEXA NR.2'!$A$1:$K$397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1" i="1" l="1"/>
  <c r="J390" i="1"/>
  <c r="J389" i="1"/>
  <c r="J388" i="1"/>
  <c r="J387" i="1"/>
  <c r="K386" i="1"/>
  <c r="I386" i="1"/>
  <c r="H386" i="1"/>
  <c r="G386" i="1"/>
  <c r="F386" i="1"/>
  <c r="E386" i="1"/>
  <c r="D386" i="1"/>
  <c r="H385" i="1"/>
  <c r="D385" i="1"/>
  <c r="C385" i="1"/>
  <c r="C133" i="1" s="1"/>
  <c r="J384" i="1"/>
  <c r="H384" i="1"/>
  <c r="H383" i="1" s="1"/>
  <c r="K383" i="1"/>
  <c r="I383" i="1"/>
  <c r="G383" i="1"/>
  <c r="F383" i="1"/>
  <c r="E383" i="1"/>
  <c r="D383" i="1"/>
  <c r="J382" i="1"/>
  <c r="H382" i="1"/>
  <c r="D382" i="1"/>
  <c r="D130" i="1" s="1"/>
  <c r="C382" i="1"/>
  <c r="K381" i="1"/>
  <c r="K379" i="1" s="1"/>
  <c r="I381" i="1"/>
  <c r="H381" i="1"/>
  <c r="H129" i="1" s="1"/>
  <c r="G381" i="1"/>
  <c r="J381" i="1" s="1"/>
  <c r="F381" i="1"/>
  <c r="D381" i="1" s="1"/>
  <c r="D129" i="1" s="1"/>
  <c r="E381" i="1"/>
  <c r="I380" i="1"/>
  <c r="I379" i="1" s="1"/>
  <c r="H380" i="1"/>
  <c r="G380" i="1"/>
  <c r="G128" i="1" s="1"/>
  <c r="G127" i="1" s="1"/>
  <c r="F380" i="1"/>
  <c r="D380" i="1" s="1"/>
  <c r="D128" i="1" s="1"/>
  <c r="E380" i="1"/>
  <c r="C380" i="1" s="1"/>
  <c r="J377" i="1"/>
  <c r="H377" i="1"/>
  <c r="H125" i="1" s="1"/>
  <c r="J376" i="1"/>
  <c r="H376" i="1"/>
  <c r="J375" i="1"/>
  <c r="H375" i="1"/>
  <c r="K374" i="1"/>
  <c r="K373" i="1" s="1"/>
  <c r="I374" i="1"/>
  <c r="I373" i="1" s="1"/>
  <c r="G374" i="1"/>
  <c r="F374" i="1"/>
  <c r="F373" i="1" s="1"/>
  <c r="E374" i="1"/>
  <c r="E373" i="1" s="1"/>
  <c r="D374" i="1"/>
  <c r="J372" i="1"/>
  <c r="J371" i="1"/>
  <c r="J370" i="1"/>
  <c r="K369" i="1"/>
  <c r="I369" i="1"/>
  <c r="H369" i="1"/>
  <c r="G369" i="1"/>
  <c r="F369" i="1"/>
  <c r="E369" i="1"/>
  <c r="D369" i="1"/>
  <c r="J368" i="1"/>
  <c r="J367" i="1"/>
  <c r="J366" i="1"/>
  <c r="J365" i="1"/>
  <c r="K364" i="1"/>
  <c r="K363" i="1" s="1"/>
  <c r="I364" i="1"/>
  <c r="H364" i="1"/>
  <c r="H363" i="1" s="1"/>
  <c r="G364" i="1"/>
  <c r="F364" i="1"/>
  <c r="E364" i="1"/>
  <c r="E363" i="1" s="1"/>
  <c r="D364" i="1"/>
  <c r="D363" i="1" s="1"/>
  <c r="K361" i="1"/>
  <c r="K109" i="1" s="1"/>
  <c r="D361" i="1"/>
  <c r="C361" i="1"/>
  <c r="J360" i="1"/>
  <c r="H360" i="1"/>
  <c r="J359" i="1"/>
  <c r="H359" i="1"/>
  <c r="H107" i="1" s="1"/>
  <c r="J358" i="1"/>
  <c r="H358" i="1"/>
  <c r="K357" i="1"/>
  <c r="I357" i="1"/>
  <c r="G357" i="1"/>
  <c r="G355" i="1" s="1"/>
  <c r="F357" i="1"/>
  <c r="F355" i="1" s="1"/>
  <c r="E357" i="1"/>
  <c r="E355" i="1" s="1"/>
  <c r="D357" i="1"/>
  <c r="I356" i="1"/>
  <c r="H356" i="1"/>
  <c r="H104" i="1" s="1"/>
  <c r="D356" i="1"/>
  <c r="D104" i="1" s="1"/>
  <c r="C356" i="1"/>
  <c r="C104" i="1" s="1"/>
  <c r="K354" i="1"/>
  <c r="G354" i="1"/>
  <c r="F354" i="1"/>
  <c r="E354" i="1"/>
  <c r="C354" i="1" s="1"/>
  <c r="D353" i="1"/>
  <c r="D101" i="1" s="1"/>
  <c r="C353" i="1"/>
  <c r="C101" i="1" s="1"/>
  <c r="G352" i="1"/>
  <c r="H352" i="1" s="1"/>
  <c r="F352" i="1"/>
  <c r="D352" i="1" s="1"/>
  <c r="D100" i="1" s="1"/>
  <c r="E352" i="1"/>
  <c r="C352" i="1"/>
  <c r="C100" i="1" s="1"/>
  <c r="D351" i="1"/>
  <c r="C351" i="1"/>
  <c r="C99" i="1" s="1"/>
  <c r="G350" i="1"/>
  <c r="G98" i="1" s="1"/>
  <c r="F350" i="1"/>
  <c r="D350" i="1" s="1"/>
  <c r="D98" i="1" s="1"/>
  <c r="E350" i="1"/>
  <c r="K349" i="1"/>
  <c r="J349" i="1"/>
  <c r="K348" i="1"/>
  <c r="K346" i="1" s="1"/>
  <c r="J348" i="1"/>
  <c r="I348" i="1"/>
  <c r="I346" i="1" s="1"/>
  <c r="H348" i="1"/>
  <c r="G348" i="1"/>
  <c r="F348" i="1"/>
  <c r="F96" i="1" s="1"/>
  <c r="E348" i="1"/>
  <c r="E346" i="1" s="1"/>
  <c r="J347" i="1"/>
  <c r="H347" i="1"/>
  <c r="H95" i="1" s="1"/>
  <c r="K343" i="1"/>
  <c r="H343" i="1"/>
  <c r="F343" i="1"/>
  <c r="D343" i="1" s="1"/>
  <c r="C343" i="1"/>
  <c r="C91" i="1" s="1"/>
  <c r="J342" i="1"/>
  <c r="H342" i="1"/>
  <c r="H89" i="1" s="1"/>
  <c r="C342" i="1"/>
  <c r="C89" i="1" s="1"/>
  <c r="J341" i="1"/>
  <c r="H341" i="1"/>
  <c r="C341" i="1"/>
  <c r="C88" i="1" s="1"/>
  <c r="K340" i="1"/>
  <c r="I340" i="1"/>
  <c r="G340" i="1"/>
  <c r="F340" i="1"/>
  <c r="E340" i="1"/>
  <c r="D340" i="1"/>
  <c r="J339" i="1"/>
  <c r="H339" i="1"/>
  <c r="H86" i="1" s="1"/>
  <c r="C339" i="1"/>
  <c r="C86" i="1" s="1"/>
  <c r="J338" i="1"/>
  <c r="H338" i="1"/>
  <c r="C338" i="1"/>
  <c r="C85" i="1" s="1"/>
  <c r="J337" i="1"/>
  <c r="H337" i="1"/>
  <c r="H84" i="1" s="1"/>
  <c r="D337" i="1"/>
  <c r="D84" i="1" s="1"/>
  <c r="C337" i="1"/>
  <c r="J336" i="1"/>
  <c r="H336" i="1"/>
  <c r="J335" i="1"/>
  <c r="H335" i="1"/>
  <c r="H334" i="1" s="1"/>
  <c r="C335" i="1"/>
  <c r="K334" i="1"/>
  <c r="I334" i="1"/>
  <c r="G334" i="1"/>
  <c r="F334" i="1"/>
  <c r="E334" i="1"/>
  <c r="D334" i="1"/>
  <c r="J333" i="1"/>
  <c r="H333" i="1"/>
  <c r="D333" i="1"/>
  <c r="D80" i="1" s="1"/>
  <c r="C333" i="1"/>
  <c r="C80" i="1" s="1"/>
  <c r="K331" i="1"/>
  <c r="G331" i="1"/>
  <c r="H331" i="1" s="1"/>
  <c r="F331" i="1"/>
  <c r="E331" i="1"/>
  <c r="E77" i="1" s="1"/>
  <c r="J330" i="1"/>
  <c r="D330" i="1"/>
  <c r="C330" i="1" s="1"/>
  <c r="C76" i="1" s="1"/>
  <c r="K329" i="1"/>
  <c r="K75" i="1" s="1"/>
  <c r="I329" i="1"/>
  <c r="H329" i="1"/>
  <c r="H75" i="1" s="1"/>
  <c r="G329" i="1"/>
  <c r="F329" i="1"/>
  <c r="D329" i="1" s="1"/>
  <c r="D75" i="1" s="1"/>
  <c r="E329" i="1"/>
  <c r="E75" i="1" s="1"/>
  <c r="J328" i="1"/>
  <c r="D328" i="1"/>
  <c r="C328" i="1" s="1"/>
  <c r="G327" i="1"/>
  <c r="G73" i="1" s="1"/>
  <c r="F327" i="1"/>
  <c r="D327" i="1" s="1"/>
  <c r="E327" i="1"/>
  <c r="E73" i="1" s="1"/>
  <c r="J325" i="1"/>
  <c r="H325" i="1"/>
  <c r="C325" i="1"/>
  <c r="J324" i="1"/>
  <c r="H324" i="1"/>
  <c r="J323" i="1"/>
  <c r="H323" i="1"/>
  <c r="C323" i="1"/>
  <c r="C69" i="1" s="1"/>
  <c r="J322" i="1"/>
  <c r="H322" i="1"/>
  <c r="C322" i="1"/>
  <c r="J321" i="1"/>
  <c r="H321" i="1"/>
  <c r="C321" i="1"/>
  <c r="I320" i="1"/>
  <c r="I66" i="1" s="1"/>
  <c r="H320" i="1"/>
  <c r="J319" i="1"/>
  <c r="H319" i="1"/>
  <c r="H65" i="1" s="1"/>
  <c r="C319" i="1"/>
  <c r="C65" i="1" s="1"/>
  <c r="K318" i="1"/>
  <c r="K315" i="1" s="1"/>
  <c r="I318" i="1"/>
  <c r="I64" i="1" s="1"/>
  <c r="H318" i="1"/>
  <c r="G318" i="1"/>
  <c r="F318" i="1"/>
  <c r="D318" i="1" s="1"/>
  <c r="D64" i="1" s="1"/>
  <c r="E318" i="1"/>
  <c r="J317" i="1"/>
  <c r="E317" i="1"/>
  <c r="C317" i="1" s="1"/>
  <c r="C63" i="1" s="1"/>
  <c r="D317" i="1"/>
  <c r="J316" i="1"/>
  <c r="H316" i="1"/>
  <c r="H62" i="1" s="1"/>
  <c r="C316" i="1"/>
  <c r="C62" i="1" s="1"/>
  <c r="H313" i="1"/>
  <c r="D313" i="1"/>
  <c r="D312" i="1" s="1"/>
  <c r="C313" i="1"/>
  <c r="K312" i="1"/>
  <c r="J312" i="1"/>
  <c r="I312" i="1"/>
  <c r="G312" i="1"/>
  <c r="F312" i="1"/>
  <c r="E312" i="1"/>
  <c r="J311" i="1"/>
  <c r="H311" i="1"/>
  <c r="H57" i="1" s="1"/>
  <c r="D311" i="1"/>
  <c r="C311" i="1"/>
  <c r="C57" i="1" s="1"/>
  <c r="J310" i="1"/>
  <c r="H310" i="1"/>
  <c r="H308" i="1" s="1"/>
  <c r="C310" i="1"/>
  <c r="J309" i="1"/>
  <c r="C309" i="1"/>
  <c r="K308" i="1"/>
  <c r="I308" i="1"/>
  <c r="G308" i="1"/>
  <c r="F308" i="1"/>
  <c r="E308" i="1"/>
  <c r="D308" i="1"/>
  <c r="K306" i="1"/>
  <c r="J306" i="1"/>
  <c r="I306" i="1"/>
  <c r="H306" i="1"/>
  <c r="G306" i="1"/>
  <c r="F306" i="1"/>
  <c r="E306" i="1"/>
  <c r="K305" i="1"/>
  <c r="J305" i="1"/>
  <c r="I305" i="1"/>
  <c r="H305" i="1"/>
  <c r="G305" i="1"/>
  <c r="F305" i="1"/>
  <c r="D305" i="1" s="1"/>
  <c r="D51" i="1" s="1"/>
  <c r="E305" i="1"/>
  <c r="K304" i="1"/>
  <c r="J304" i="1"/>
  <c r="I304" i="1"/>
  <c r="H304" i="1"/>
  <c r="G304" i="1"/>
  <c r="F304" i="1"/>
  <c r="E304" i="1"/>
  <c r="E302" i="1" s="1"/>
  <c r="C304" i="1"/>
  <c r="K303" i="1"/>
  <c r="J303" i="1"/>
  <c r="I303" i="1"/>
  <c r="H303" i="1"/>
  <c r="G303" i="1"/>
  <c r="F303" i="1"/>
  <c r="C303" i="1"/>
  <c r="C49" i="1" s="1"/>
  <c r="C48" i="1" s="1"/>
  <c r="D302" i="1"/>
  <c r="C302" i="1" s="1"/>
  <c r="J301" i="1"/>
  <c r="C301" i="1"/>
  <c r="C47" i="1" s="1"/>
  <c r="C46" i="1" s="1"/>
  <c r="K300" i="1"/>
  <c r="I300" i="1"/>
  <c r="H300" i="1"/>
  <c r="G300" i="1"/>
  <c r="F300" i="1"/>
  <c r="E300" i="1"/>
  <c r="D300" i="1"/>
  <c r="K299" i="1"/>
  <c r="J299" i="1"/>
  <c r="I299" i="1"/>
  <c r="H299" i="1"/>
  <c r="G299" i="1"/>
  <c r="F299" i="1"/>
  <c r="E299" i="1"/>
  <c r="K298" i="1"/>
  <c r="J298" i="1"/>
  <c r="I298" i="1"/>
  <c r="H298" i="1"/>
  <c r="G298" i="1"/>
  <c r="F298" i="1"/>
  <c r="E298" i="1"/>
  <c r="K297" i="1"/>
  <c r="J297" i="1"/>
  <c r="I297" i="1"/>
  <c r="H297" i="1"/>
  <c r="G297" i="1"/>
  <c r="F297" i="1"/>
  <c r="D297" i="1" s="1"/>
  <c r="D43" i="1" s="1"/>
  <c r="E297" i="1"/>
  <c r="K296" i="1"/>
  <c r="J296" i="1"/>
  <c r="I296" i="1"/>
  <c r="H296" i="1"/>
  <c r="G296" i="1"/>
  <c r="F296" i="1"/>
  <c r="E296" i="1"/>
  <c r="K294" i="1"/>
  <c r="J294" i="1"/>
  <c r="I294" i="1"/>
  <c r="H294" i="1"/>
  <c r="G294" i="1"/>
  <c r="F294" i="1"/>
  <c r="C294" i="1"/>
  <c r="C40" i="1" s="1"/>
  <c r="K293" i="1"/>
  <c r="J293" i="1"/>
  <c r="I293" i="1"/>
  <c r="I39" i="1" s="1"/>
  <c r="H293" i="1"/>
  <c r="G293" i="1"/>
  <c r="F293" i="1"/>
  <c r="E293" i="1"/>
  <c r="E292" i="1" s="1"/>
  <c r="K289" i="1"/>
  <c r="J289" i="1"/>
  <c r="H289" i="1"/>
  <c r="D289" i="1"/>
  <c r="C289" i="1"/>
  <c r="C35" i="1" s="1"/>
  <c r="I288" i="1"/>
  <c r="H288" i="1"/>
  <c r="D288" i="1"/>
  <c r="D34" i="1" s="1"/>
  <c r="C288" i="1"/>
  <c r="J287" i="1"/>
  <c r="J33" i="1" s="1"/>
  <c r="G286" i="1"/>
  <c r="G285" i="1" s="1"/>
  <c r="F286" i="1"/>
  <c r="E286" i="1"/>
  <c r="E285" i="1" s="1"/>
  <c r="J284" i="1"/>
  <c r="J283" i="1" s="1"/>
  <c r="K283" i="1"/>
  <c r="I283" i="1"/>
  <c r="H283" i="1"/>
  <c r="G283" i="1"/>
  <c r="F283" i="1"/>
  <c r="E283" i="1"/>
  <c r="D283" i="1"/>
  <c r="J281" i="1"/>
  <c r="C281" i="1"/>
  <c r="C21" i="1" s="1"/>
  <c r="D280" i="1"/>
  <c r="C280" i="1"/>
  <c r="C20" i="1" s="1"/>
  <c r="J279" i="1"/>
  <c r="J19" i="1" s="1"/>
  <c r="C279" i="1"/>
  <c r="C19" i="1" s="1"/>
  <c r="J278" i="1"/>
  <c r="J277" i="1"/>
  <c r="K276" i="1"/>
  <c r="I276" i="1"/>
  <c r="H276" i="1"/>
  <c r="G276" i="1"/>
  <c r="F276" i="1"/>
  <c r="E276" i="1"/>
  <c r="K275" i="1"/>
  <c r="H275" i="1"/>
  <c r="J275" i="1" s="1"/>
  <c r="J15" i="1" s="1"/>
  <c r="D275" i="1"/>
  <c r="D274" i="1" s="1"/>
  <c r="C275" i="1"/>
  <c r="C274" i="1" s="1"/>
  <c r="I274" i="1"/>
  <c r="I273" i="1" s="1"/>
  <c r="G274" i="1"/>
  <c r="F274" i="1"/>
  <c r="E274" i="1"/>
  <c r="J267" i="1"/>
  <c r="H267" i="1"/>
  <c r="H139" i="1" s="1"/>
  <c r="J266" i="1"/>
  <c r="H266" i="1"/>
  <c r="H138" i="1" s="1"/>
  <c r="J265" i="1"/>
  <c r="H265" i="1"/>
  <c r="J264" i="1"/>
  <c r="H264" i="1"/>
  <c r="H136" i="1" s="1"/>
  <c r="J263" i="1"/>
  <c r="H263" i="1"/>
  <c r="H135" i="1" s="1"/>
  <c r="K262" i="1"/>
  <c r="I262" i="1"/>
  <c r="G262" i="1"/>
  <c r="F262" i="1"/>
  <c r="E262" i="1"/>
  <c r="D262" i="1"/>
  <c r="J261" i="1"/>
  <c r="H261" i="1"/>
  <c r="H133" i="1" s="1"/>
  <c r="J260" i="1"/>
  <c r="H260" i="1"/>
  <c r="H132" i="1" s="1"/>
  <c r="H131" i="1" s="1"/>
  <c r="K259" i="1"/>
  <c r="I259" i="1"/>
  <c r="G259" i="1"/>
  <c r="F259" i="1"/>
  <c r="E259" i="1"/>
  <c r="D259" i="1"/>
  <c r="J258" i="1"/>
  <c r="J257" i="1"/>
  <c r="J256" i="1"/>
  <c r="K255" i="1"/>
  <c r="I255" i="1"/>
  <c r="H255" i="1"/>
  <c r="G255" i="1"/>
  <c r="F255" i="1"/>
  <c r="E255" i="1"/>
  <c r="D255" i="1"/>
  <c r="J253" i="1"/>
  <c r="J125" i="1" s="1"/>
  <c r="H253" i="1"/>
  <c r="J252" i="1"/>
  <c r="J124" i="1" s="1"/>
  <c r="H252" i="1"/>
  <c r="I251" i="1"/>
  <c r="I250" i="1" s="1"/>
  <c r="H251" i="1"/>
  <c r="K250" i="1"/>
  <c r="K249" i="1" s="1"/>
  <c r="G250" i="1"/>
  <c r="G249" i="1" s="1"/>
  <c r="F250" i="1"/>
  <c r="E250" i="1"/>
  <c r="E249" i="1" s="1"/>
  <c r="D250" i="1"/>
  <c r="D249" i="1" s="1"/>
  <c r="J248" i="1"/>
  <c r="J247" i="1"/>
  <c r="J119" i="1" s="1"/>
  <c r="J246" i="1"/>
  <c r="K245" i="1"/>
  <c r="I245" i="1"/>
  <c r="H245" i="1"/>
  <c r="G245" i="1"/>
  <c r="F245" i="1"/>
  <c r="E245" i="1"/>
  <c r="D245" i="1"/>
  <c r="J244" i="1"/>
  <c r="J243" i="1"/>
  <c r="J242" i="1"/>
  <c r="J241" i="1"/>
  <c r="K240" i="1"/>
  <c r="I240" i="1"/>
  <c r="H240" i="1"/>
  <c r="H239" i="1" s="1"/>
  <c r="G240" i="1"/>
  <c r="F240" i="1"/>
  <c r="F239" i="1" s="1"/>
  <c r="E240" i="1"/>
  <c r="D240" i="1"/>
  <c r="D239" i="1"/>
  <c r="H237" i="1"/>
  <c r="J236" i="1"/>
  <c r="J235" i="1"/>
  <c r="H235" i="1"/>
  <c r="H234" i="1" s="1"/>
  <c r="K234" i="1"/>
  <c r="K232" i="1" s="1"/>
  <c r="I234" i="1"/>
  <c r="G234" i="1"/>
  <c r="G232" i="1" s="1"/>
  <c r="F234" i="1"/>
  <c r="F232" i="1" s="1"/>
  <c r="E234" i="1"/>
  <c r="E232" i="1" s="1"/>
  <c r="D234" i="1"/>
  <c r="J233" i="1"/>
  <c r="K231" i="1"/>
  <c r="K102" i="1" s="1"/>
  <c r="H231" i="1"/>
  <c r="G231" i="1"/>
  <c r="E231" i="1"/>
  <c r="J230" i="1"/>
  <c r="H229" i="1"/>
  <c r="J228" i="1"/>
  <c r="J99" i="1" s="1"/>
  <c r="H227" i="1"/>
  <c r="K226" i="1"/>
  <c r="G226" i="1"/>
  <c r="F226" i="1"/>
  <c r="E226" i="1"/>
  <c r="D226" i="1"/>
  <c r="J225" i="1"/>
  <c r="J224" i="1"/>
  <c r="J95" i="1" s="1"/>
  <c r="K223" i="1"/>
  <c r="I223" i="1"/>
  <c r="H223" i="1"/>
  <c r="G223" i="1"/>
  <c r="F223" i="1"/>
  <c r="E223" i="1"/>
  <c r="D223" i="1"/>
  <c r="K220" i="1"/>
  <c r="K91" i="1" s="1"/>
  <c r="K90" i="1" s="1"/>
  <c r="I220" i="1"/>
  <c r="H220" i="1"/>
  <c r="H91" i="1" s="1"/>
  <c r="H90" i="1" s="1"/>
  <c r="G220" i="1"/>
  <c r="F220" i="1"/>
  <c r="E220" i="1"/>
  <c r="E91" i="1" s="1"/>
  <c r="E90" i="1" s="1"/>
  <c r="J219" i="1"/>
  <c r="K218" i="1"/>
  <c r="I218" i="1"/>
  <c r="I217" i="1" s="1"/>
  <c r="H218" i="1"/>
  <c r="H217" i="1" s="1"/>
  <c r="G218" i="1"/>
  <c r="G88" i="1" s="1"/>
  <c r="F218" i="1"/>
  <c r="F88" i="1" s="1"/>
  <c r="E218" i="1"/>
  <c r="K217" i="1"/>
  <c r="D217" i="1"/>
  <c r="K216" i="1"/>
  <c r="J216" i="1"/>
  <c r="H215" i="1"/>
  <c r="J215" i="1" s="1"/>
  <c r="J214" i="1"/>
  <c r="K213" i="1"/>
  <c r="G213" i="1"/>
  <c r="H213" i="1" s="1"/>
  <c r="F213" i="1"/>
  <c r="K212" i="1"/>
  <c r="K211" i="1" s="1"/>
  <c r="G212" i="1"/>
  <c r="G82" i="1" s="1"/>
  <c r="G81" i="1" s="1"/>
  <c r="F212" i="1"/>
  <c r="F211" i="1" s="1"/>
  <c r="E212" i="1"/>
  <c r="D211" i="1"/>
  <c r="D209" i="1" s="1"/>
  <c r="J210" i="1"/>
  <c r="I208" i="1"/>
  <c r="J208" i="1" s="1"/>
  <c r="H208" i="1"/>
  <c r="J207" i="1"/>
  <c r="J206" i="1"/>
  <c r="J205" i="1"/>
  <c r="J74" i="1" s="1"/>
  <c r="J204" i="1"/>
  <c r="K203" i="1"/>
  <c r="I203" i="1"/>
  <c r="H203" i="1"/>
  <c r="G203" i="1"/>
  <c r="F203" i="1"/>
  <c r="E203" i="1"/>
  <c r="D203" i="1"/>
  <c r="J202" i="1"/>
  <c r="J71" i="1" s="1"/>
  <c r="J201" i="1"/>
  <c r="J200" i="1"/>
  <c r="H200" i="1"/>
  <c r="J199" i="1"/>
  <c r="H199" i="1"/>
  <c r="J198" i="1"/>
  <c r="H198" i="1"/>
  <c r="J197" i="1"/>
  <c r="H197" i="1"/>
  <c r="H66" i="1" s="1"/>
  <c r="J196" i="1"/>
  <c r="J195" i="1"/>
  <c r="J194" i="1"/>
  <c r="J193" i="1"/>
  <c r="K192" i="1"/>
  <c r="I192" i="1"/>
  <c r="G192" i="1"/>
  <c r="F192" i="1"/>
  <c r="E192" i="1"/>
  <c r="D192" i="1"/>
  <c r="H190" i="1"/>
  <c r="H189" i="1" s="1"/>
  <c r="K189" i="1"/>
  <c r="I189" i="1"/>
  <c r="G189" i="1"/>
  <c r="F189" i="1"/>
  <c r="E189" i="1"/>
  <c r="D189" i="1"/>
  <c r="K188" i="1"/>
  <c r="K57" i="1" s="1"/>
  <c r="J188" i="1"/>
  <c r="J187" i="1"/>
  <c r="J186" i="1"/>
  <c r="K185" i="1"/>
  <c r="I185" i="1"/>
  <c r="H185" i="1"/>
  <c r="G185" i="1"/>
  <c r="F185" i="1"/>
  <c r="E185" i="1"/>
  <c r="D185" i="1"/>
  <c r="K183" i="1"/>
  <c r="J183" i="1"/>
  <c r="I183" i="1"/>
  <c r="H183" i="1"/>
  <c r="H52" i="1" s="1"/>
  <c r="G183" i="1"/>
  <c r="F183" i="1"/>
  <c r="E183" i="1"/>
  <c r="K182" i="1"/>
  <c r="J182" i="1"/>
  <c r="I182" i="1"/>
  <c r="I51" i="1" s="1"/>
  <c r="H182" i="1"/>
  <c r="G182" i="1"/>
  <c r="G51" i="1" s="1"/>
  <c r="F182" i="1"/>
  <c r="E182" i="1"/>
  <c r="K181" i="1"/>
  <c r="J181" i="1"/>
  <c r="I181" i="1"/>
  <c r="H181" i="1"/>
  <c r="H50" i="1" s="1"/>
  <c r="G181" i="1"/>
  <c r="F181" i="1"/>
  <c r="E181" i="1"/>
  <c r="K180" i="1"/>
  <c r="J180" i="1"/>
  <c r="J49" i="1" s="1"/>
  <c r="I180" i="1"/>
  <c r="H180" i="1"/>
  <c r="G180" i="1"/>
  <c r="G49" i="1" s="1"/>
  <c r="F180" i="1"/>
  <c r="F49" i="1" s="1"/>
  <c r="E180" i="1"/>
  <c r="E49" i="1" s="1"/>
  <c r="K179" i="1"/>
  <c r="J179" i="1"/>
  <c r="I179" i="1"/>
  <c r="H179" i="1"/>
  <c r="G179" i="1"/>
  <c r="F179" i="1"/>
  <c r="E179" i="1"/>
  <c r="D179" i="1"/>
  <c r="K178" i="1"/>
  <c r="J178" i="1"/>
  <c r="I178" i="1"/>
  <c r="H178" i="1"/>
  <c r="H47" i="1" s="1"/>
  <c r="G178" i="1"/>
  <c r="F178" i="1"/>
  <c r="F47" i="1" s="1"/>
  <c r="F46" i="1" s="1"/>
  <c r="E178" i="1"/>
  <c r="K177" i="1"/>
  <c r="J177" i="1"/>
  <c r="I177" i="1"/>
  <c r="H177" i="1"/>
  <c r="G177" i="1"/>
  <c r="F177" i="1"/>
  <c r="E177" i="1"/>
  <c r="D177" i="1"/>
  <c r="K176" i="1"/>
  <c r="J176" i="1"/>
  <c r="I176" i="1"/>
  <c r="H176" i="1"/>
  <c r="G176" i="1"/>
  <c r="F176" i="1"/>
  <c r="E176" i="1"/>
  <c r="K175" i="1"/>
  <c r="J175" i="1"/>
  <c r="J44" i="1" s="1"/>
  <c r="I175" i="1"/>
  <c r="H175" i="1"/>
  <c r="G175" i="1"/>
  <c r="F175" i="1"/>
  <c r="F44" i="1" s="1"/>
  <c r="E175" i="1"/>
  <c r="K174" i="1"/>
  <c r="K43" i="1" s="1"/>
  <c r="J174" i="1"/>
  <c r="I174" i="1"/>
  <c r="H174" i="1"/>
  <c r="G174" i="1"/>
  <c r="G43" i="1" s="1"/>
  <c r="F174" i="1"/>
  <c r="E174" i="1"/>
  <c r="K173" i="1"/>
  <c r="J173" i="1"/>
  <c r="I173" i="1"/>
  <c r="H173" i="1"/>
  <c r="G173" i="1"/>
  <c r="F173" i="1"/>
  <c r="F42" i="1" s="1"/>
  <c r="E173" i="1"/>
  <c r="K172" i="1"/>
  <c r="J172" i="1"/>
  <c r="I172" i="1"/>
  <c r="H172" i="1"/>
  <c r="G172" i="1"/>
  <c r="F172" i="1"/>
  <c r="E172" i="1"/>
  <c r="D172" i="1"/>
  <c r="K171" i="1"/>
  <c r="J171" i="1"/>
  <c r="I171" i="1"/>
  <c r="I40" i="1" s="1"/>
  <c r="H171" i="1"/>
  <c r="G171" i="1"/>
  <c r="F171" i="1"/>
  <c r="E171" i="1"/>
  <c r="E40" i="1" s="1"/>
  <c r="K170" i="1"/>
  <c r="J170" i="1"/>
  <c r="J39" i="1" s="1"/>
  <c r="I170" i="1"/>
  <c r="H170" i="1"/>
  <c r="G170" i="1"/>
  <c r="F170" i="1"/>
  <c r="E170" i="1"/>
  <c r="D169" i="1"/>
  <c r="K163" i="1"/>
  <c r="K162" i="1" s="1"/>
  <c r="J163" i="1"/>
  <c r="I163" i="1"/>
  <c r="I162" i="1" s="1"/>
  <c r="H163" i="1"/>
  <c r="H162" i="1" s="1"/>
  <c r="G163" i="1"/>
  <c r="G162" i="1" s="1"/>
  <c r="F163" i="1"/>
  <c r="F162" i="1" s="1"/>
  <c r="E163" i="1"/>
  <c r="E162" i="1" s="1"/>
  <c r="D163" i="1"/>
  <c r="J161" i="1"/>
  <c r="K160" i="1"/>
  <c r="I160" i="1"/>
  <c r="H160" i="1"/>
  <c r="G160" i="1"/>
  <c r="F160" i="1"/>
  <c r="E160" i="1"/>
  <c r="D160" i="1"/>
  <c r="J158" i="1"/>
  <c r="J157" i="1"/>
  <c r="J26" i="1" s="1"/>
  <c r="J156" i="1"/>
  <c r="K155" i="1"/>
  <c r="I155" i="1"/>
  <c r="H155" i="1"/>
  <c r="G155" i="1"/>
  <c r="F155" i="1"/>
  <c r="E155" i="1"/>
  <c r="D155" i="1"/>
  <c r="J154" i="1"/>
  <c r="H154" i="1"/>
  <c r="J151" i="1"/>
  <c r="J150" i="1"/>
  <c r="J18" i="1" s="1"/>
  <c r="K148" i="1"/>
  <c r="I148" i="1"/>
  <c r="H148" i="1"/>
  <c r="G148" i="1"/>
  <c r="F148" i="1"/>
  <c r="E148" i="1"/>
  <c r="D148" i="1"/>
  <c r="K147" i="1"/>
  <c r="H147" i="1"/>
  <c r="H146" i="1" s="1"/>
  <c r="H145" i="1" s="1"/>
  <c r="J146" i="1"/>
  <c r="I146" i="1"/>
  <c r="G146" i="1"/>
  <c r="F146" i="1"/>
  <c r="F145" i="1" s="1"/>
  <c r="E146" i="1"/>
  <c r="E145" i="1" s="1"/>
  <c r="D146" i="1"/>
  <c r="D145" i="1" s="1"/>
  <c r="K139" i="1"/>
  <c r="I139" i="1"/>
  <c r="G139" i="1"/>
  <c r="F139" i="1"/>
  <c r="E139" i="1"/>
  <c r="D139" i="1"/>
  <c r="K138" i="1"/>
  <c r="I138" i="1"/>
  <c r="G138" i="1"/>
  <c r="F138" i="1"/>
  <c r="E138" i="1"/>
  <c r="D138" i="1"/>
  <c r="K137" i="1"/>
  <c r="I137" i="1"/>
  <c r="G137" i="1"/>
  <c r="F137" i="1"/>
  <c r="E137" i="1"/>
  <c r="D137" i="1"/>
  <c r="K136" i="1"/>
  <c r="I136" i="1"/>
  <c r="G136" i="1"/>
  <c r="F136" i="1"/>
  <c r="E136" i="1"/>
  <c r="D136" i="1"/>
  <c r="K135" i="1"/>
  <c r="I135" i="1"/>
  <c r="G135" i="1"/>
  <c r="F135" i="1"/>
  <c r="E135" i="1"/>
  <c r="D135" i="1"/>
  <c r="J134" i="1"/>
  <c r="K133" i="1"/>
  <c r="G133" i="1"/>
  <c r="F133" i="1"/>
  <c r="E133" i="1"/>
  <c r="D133" i="1"/>
  <c r="K132" i="1"/>
  <c r="K131" i="1" s="1"/>
  <c r="I132" i="1"/>
  <c r="G132" i="1"/>
  <c r="F132" i="1"/>
  <c r="F131" i="1" s="1"/>
  <c r="E132" i="1"/>
  <c r="E131" i="1" s="1"/>
  <c r="D132" i="1"/>
  <c r="C132" i="1"/>
  <c r="C131" i="1" s="1"/>
  <c r="K130" i="1"/>
  <c r="I130" i="1"/>
  <c r="H130" i="1"/>
  <c r="G130" i="1"/>
  <c r="F130" i="1"/>
  <c r="E130" i="1"/>
  <c r="C130" i="1"/>
  <c r="K129" i="1"/>
  <c r="I129" i="1"/>
  <c r="G129" i="1"/>
  <c r="F129" i="1"/>
  <c r="K128" i="1"/>
  <c r="F128" i="1"/>
  <c r="E128" i="1"/>
  <c r="C128" i="1"/>
  <c r="K125" i="1"/>
  <c r="I125" i="1"/>
  <c r="G125" i="1"/>
  <c r="F125" i="1"/>
  <c r="E125" i="1"/>
  <c r="D125" i="1"/>
  <c r="C125" i="1"/>
  <c r="K124" i="1"/>
  <c r="I124" i="1"/>
  <c r="G124" i="1"/>
  <c r="F124" i="1"/>
  <c r="E124" i="1"/>
  <c r="D124" i="1"/>
  <c r="C124" i="1"/>
  <c r="K123" i="1"/>
  <c r="G123" i="1"/>
  <c r="F123" i="1"/>
  <c r="E123" i="1"/>
  <c r="D123" i="1"/>
  <c r="C123" i="1"/>
  <c r="K120" i="1"/>
  <c r="I120" i="1"/>
  <c r="H120" i="1"/>
  <c r="G120" i="1"/>
  <c r="F120" i="1"/>
  <c r="E120" i="1"/>
  <c r="D120" i="1"/>
  <c r="C120" i="1"/>
  <c r="K119" i="1"/>
  <c r="I119" i="1"/>
  <c r="H119" i="1"/>
  <c r="G119" i="1"/>
  <c r="F119" i="1"/>
  <c r="E119" i="1"/>
  <c r="D119" i="1"/>
  <c r="C119" i="1"/>
  <c r="K118" i="1"/>
  <c r="I118" i="1"/>
  <c r="H118" i="1"/>
  <c r="G118" i="1"/>
  <c r="F118" i="1"/>
  <c r="E118" i="1"/>
  <c r="D118" i="1"/>
  <c r="C118" i="1"/>
  <c r="K116" i="1"/>
  <c r="I116" i="1"/>
  <c r="H116" i="1"/>
  <c r="G116" i="1"/>
  <c r="F116" i="1"/>
  <c r="E116" i="1"/>
  <c r="D116" i="1"/>
  <c r="C116" i="1"/>
  <c r="K115" i="1"/>
  <c r="I115" i="1"/>
  <c r="H115" i="1"/>
  <c r="G115" i="1"/>
  <c r="F115" i="1"/>
  <c r="E115" i="1"/>
  <c r="D115" i="1"/>
  <c r="C115" i="1"/>
  <c r="K114" i="1"/>
  <c r="I114" i="1"/>
  <c r="H114" i="1"/>
  <c r="G114" i="1"/>
  <c r="F114" i="1"/>
  <c r="E114" i="1"/>
  <c r="D114" i="1"/>
  <c r="C114" i="1"/>
  <c r="K113" i="1"/>
  <c r="I113" i="1"/>
  <c r="H113" i="1"/>
  <c r="G113" i="1"/>
  <c r="F113" i="1"/>
  <c r="E113" i="1"/>
  <c r="D113" i="1"/>
  <c r="C113" i="1"/>
  <c r="J109" i="1"/>
  <c r="I109" i="1"/>
  <c r="H109" i="1"/>
  <c r="G109" i="1"/>
  <c r="F109" i="1"/>
  <c r="E109" i="1"/>
  <c r="C109" i="1"/>
  <c r="K108" i="1"/>
  <c r="G108" i="1"/>
  <c r="F108" i="1"/>
  <c r="E108" i="1"/>
  <c r="D108" i="1"/>
  <c r="C108" i="1"/>
  <c r="K107" i="1"/>
  <c r="I107" i="1"/>
  <c r="G107" i="1"/>
  <c r="F107" i="1"/>
  <c r="E107" i="1"/>
  <c r="D107" i="1"/>
  <c r="C107" i="1"/>
  <c r="K106" i="1"/>
  <c r="I106" i="1"/>
  <c r="G106" i="1"/>
  <c r="F106" i="1"/>
  <c r="E106" i="1"/>
  <c r="D106" i="1"/>
  <c r="C106" i="1"/>
  <c r="K104" i="1"/>
  <c r="I104" i="1"/>
  <c r="G104" i="1"/>
  <c r="F104" i="1"/>
  <c r="E104" i="1"/>
  <c r="F102" i="1"/>
  <c r="C102" i="1"/>
  <c r="K101" i="1"/>
  <c r="I101" i="1"/>
  <c r="H101" i="1"/>
  <c r="G101" i="1"/>
  <c r="F101" i="1"/>
  <c r="E101" i="1"/>
  <c r="K100" i="1"/>
  <c r="G100" i="1"/>
  <c r="E100" i="1"/>
  <c r="K99" i="1"/>
  <c r="I99" i="1"/>
  <c r="H99" i="1"/>
  <c r="G99" i="1"/>
  <c r="F99" i="1"/>
  <c r="E99" i="1"/>
  <c r="D99" i="1"/>
  <c r="K98" i="1"/>
  <c r="E98" i="1"/>
  <c r="J96" i="1"/>
  <c r="G96" i="1"/>
  <c r="K95" i="1"/>
  <c r="I95" i="1"/>
  <c r="G95" i="1"/>
  <c r="F95" i="1"/>
  <c r="E95" i="1"/>
  <c r="D95" i="1"/>
  <c r="C95" i="1"/>
  <c r="I91" i="1"/>
  <c r="I90" i="1" s="1"/>
  <c r="G91" i="1"/>
  <c r="F91" i="1"/>
  <c r="D91" i="1"/>
  <c r="D90" i="1" s="1"/>
  <c r="K89" i="1"/>
  <c r="I89" i="1"/>
  <c r="G89" i="1"/>
  <c r="F89" i="1"/>
  <c r="E89" i="1"/>
  <c r="D89" i="1"/>
  <c r="K88" i="1"/>
  <c r="H88" i="1"/>
  <c r="D88" i="1"/>
  <c r="K86" i="1"/>
  <c r="I86" i="1"/>
  <c r="G86" i="1"/>
  <c r="F86" i="1"/>
  <c r="E86" i="1"/>
  <c r="D86" i="1"/>
  <c r="K85" i="1"/>
  <c r="I85" i="1"/>
  <c r="G85" i="1"/>
  <c r="F85" i="1"/>
  <c r="E85" i="1"/>
  <c r="D85" i="1"/>
  <c r="K84" i="1"/>
  <c r="I84" i="1"/>
  <c r="G84" i="1"/>
  <c r="F84" i="1"/>
  <c r="E84" i="1"/>
  <c r="C84" i="1"/>
  <c r="K83" i="1"/>
  <c r="F83" i="1"/>
  <c r="E83" i="1"/>
  <c r="D83" i="1"/>
  <c r="C83" i="1"/>
  <c r="E82" i="1"/>
  <c r="D82" i="1"/>
  <c r="D81" i="1" s="1"/>
  <c r="C82" i="1"/>
  <c r="K80" i="1"/>
  <c r="J80" i="1"/>
  <c r="I80" i="1"/>
  <c r="H80" i="1"/>
  <c r="G80" i="1"/>
  <c r="F80" i="1"/>
  <c r="E80" i="1"/>
  <c r="K77" i="1"/>
  <c r="G77" i="1"/>
  <c r="F77" i="1"/>
  <c r="K76" i="1"/>
  <c r="I76" i="1"/>
  <c r="H76" i="1"/>
  <c r="G76" i="1"/>
  <c r="F76" i="1"/>
  <c r="E76" i="1"/>
  <c r="I75" i="1"/>
  <c r="K74" i="1"/>
  <c r="I74" i="1"/>
  <c r="H74" i="1"/>
  <c r="G74" i="1"/>
  <c r="F74" i="1"/>
  <c r="E74" i="1"/>
  <c r="D74" i="1"/>
  <c r="C74" i="1"/>
  <c r="K73" i="1"/>
  <c r="F73" i="1"/>
  <c r="D73" i="1"/>
  <c r="K71" i="1"/>
  <c r="I71" i="1"/>
  <c r="H71" i="1"/>
  <c r="G71" i="1"/>
  <c r="F71" i="1"/>
  <c r="E71" i="1"/>
  <c r="D71" i="1"/>
  <c r="C71" i="1"/>
  <c r="K70" i="1"/>
  <c r="I70" i="1"/>
  <c r="H70" i="1"/>
  <c r="G70" i="1"/>
  <c r="F70" i="1"/>
  <c r="E70" i="1"/>
  <c r="D70" i="1"/>
  <c r="C70" i="1"/>
  <c r="K69" i="1"/>
  <c r="I69" i="1"/>
  <c r="G69" i="1"/>
  <c r="F69" i="1"/>
  <c r="E69" i="1"/>
  <c r="D69" i="1"/>
  <c r="K68" i="1"/>
  <c r="J68" i="1"/>
  <c r="I68" i="1"/>
  <c r="G68" i="1"/>
  <c r="F68" i="1"/>
  <c r="E68" i="1"/>
  <c r="D68" i="1"/>
  <c r="C68" i="1"/>
  <c r="K67" i="1"/>
  <c r="I67" i="1"/>
  <c r="G67" i="1"/>
  <c r="F67" i="1"/>
  <c r="E67" i="1"/>
  <c r="D67" i="1"/>
  <c r="C67" i="1"/>
  <c r="K66" i="1"/>
  <c r="G66" i="1"/>
  <c r="F66" i="1"/>
  <c r="E66" i="1"/>
  <c r="D66" i="1"/>
  <c r="C66" i="1"/>
  <c r="K65" i="1"/>
  <c r="J65" i="1"/>
  <c r="I65" i="1"/>
  <c r="G65" i="1"/>
  <c r="F65" i="1"/>
  <c r="E65" i="1"/>
  <c r="D65" i="1"/>
  <c r="H64" i="1"/>
  <c r="G64" i="1"/>
  <c r="E64" i="1"/>
  <c r="K63" i="1"/>
  <c r="I63" i="1"/>
  <c r="H63" i="1"/>
  <c r="G63" i="1"/>
  <c r="F63" i="1"/>
  <c r="D63" i="1"/>
  <c r="K62" i="1"/>
  <c r="I62" i="1"/>
  <c r="G62" i="1"/>
  <c r="F62" i="1"/>
  <c r="E62" i="1"/>
  <c r="D62" i="1"/>
  <c r="K59" i="1"/>
  <c r="I59" i="1"/>
  <c r="I58" i="1" s="1"/>
  <c r="G59" i="1"/>
  <c r="G58" i="1" s="1"/>
  <c r="F59" i="1"/>
  <c r="F58" i="1" s="1"/>
  <c r="E59" i="1"/>
  <c r="E58" i="1" s="1"/>
  <c r="C59" i="1"/>
  <c r="K58" i="1"/>
  <c r="I57" i="1"/>
  <c r="G57" i="1"/>
  <c r="F57" i="1"/>
  <c r="E57" i="1"/>
  <c r="D57" i="1"/>
  <c r="K56" i="1"/>
  <c r="I56" i="1"/>
  <c r="H56" i="1"/>
  <c r="G56" i="1"/>
  <c r="F56" i="1"/>
  <c r="E56" i="1"/>
  <c r="D56" i="1"/>
  <c r="C56" i="1"/>
  <c r="K55" i="1"/>
  <c r="I55" i="1"/>
  <c r="H55" i="1"/>
  <c r="H54" i="1" s="1"/>
  <c r="G55" i="1"/>
  <c r="F55" i="1"/>
  <c r="E55" i="1"/>
  <c r="D55" i="1"/>
  <c r="C55" i="1"/>
  <c r="D54" i="1"/>
  <c r="I52" i="1"/>
  <c r="J51" i="1"/>
  <c r="F51" i="1"/>
  <c r="D50" i="1"/>
  <c r="C50" i="1"/>
  <c r="I49" i="1"/>
  <c r="D49" i="1"/>
  <c r="K47" i="1"/>
  <c r="I47" i="1"/>
  <c r="E47" i="1"/>
  <c r="D47" i="1"/>
  <c r="D46" i="1" s="1"/>
  <c r="K46" i="1"/>
  <c r="D45" i="1"/>
  <c r="G44" i="1"/>
  <c r="D44" i="1"/>
  <c r="H43" i="1"/>
  <c r="I42" i="1"/>
  <c r="H42" i="1"/>
  <c r="D40" i="1"/>
  <c r="K35" i="1"/>
  <c r="J35" i="1"/>
  <c r="I35" i="1"/>
  <c r="H35" i="1"/>
  <c r="G35" i="1"/>
  <c r="F35" i="1"/>
  <c r="E35" i="1"/>
  <c r="D35" i="1"/>
  <c r="K34" i="1"/>
  <c r="I34" i="1"/>
  <c r="H34" i="1"/>
  <c r="G34" i="1"/>
  <c r="F34" i="1"/>
  <c r="E34" i="1"/>
  <c r="C34" i="1"/>
  <c r="K33" i="1"/>
  <c r="I33" i="1"/>
  <c r="H33" i="1"/>
  <c r="H32" i="1" s="1"/>
  <c r="G33" i="1"/>
  <c r="G32" i="1" s="1"/>
  <c r="F33" i="1"/>
  <c r="F32" i="1" s="1"/>
  <c r="E33" i="1"/>
  <c r="D33" i="1"/>
  <c r="D32" i="1" s="1"/>
  <c r="C33" i="1"/>
  <c r="C32" i="1"/>
  <c r="K30" i="1"/>
  <c r="I30" i="1"/>
  <c r="I29" i="1" s="1"/>
  <c r="H30" i="1"/>
  <c r="H29" i="1" s="1"/>
  <c r="G30" i="1"/>
  <c r="F30" i="1"/>
  <c r="F29" i="1" s="1"/>
  <c r="E30" i="1"/>
  <c r="E29" i="1" s="1"/>
  <c r="D30" i="1"/>
  <c r="D29" i="1" s="1"/>
  <c r="C30" i="1"/>
  <c r="C29" i="1" s="1"/>
  <c r="K27" i="1"/>
  <c r="I27" i="1"/>
  <c r="H27" i="1"/>
  <c r="G27" i="1"/>
  <c r="F27" i="1"/>
  <c r="E27" i="1"/>
  <c r="D27" i="1"/>
  <c r="C27" i="1"/>
  <c r="K26" i="1"/>
  <c r="I26" i="1"/>
  <c r="H26" i="1"/>
  <c r="G26" i="1"/>
  <c r="F26" i="1"/>
  <c r="E26" i="1"/>
  <c r="D26" i="1"/>
  <c r="C26" i="1"/>
  <c r="K25" i="1"/>
  <c r="I25" i="1"/>
  <c r="H25" i="1"/>
  <c r="G25" i="1"/>
  <c r="F25" i="1"/>
  <c r="E25" i="1"/>
  <c r="D25" i="1"/>
  <c r="C25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K20" i="1"/>
  <c r="J20" i="1"/>
  <c r="I20" i="1"/>
  <c r="G20" i="1"/>
  <c r="H20" i="1" s="1"/>
  <c r="F20" i="1"/>
  <c r="E20" i="1"/>
  <c r="D20" i="1"/>
  <c r="K19" i="1"/>
  <c r="I19" i="1"/>
  <c r="H19" i="1"/>
  <c r="G19" i="1"/>
  <c r="F19" i="1"/>
  <c r="E19" i="1"/>
  <c r="D19" i="1"/>
  <c r="K18" i="1"/>
  <c r="I18" i="1"/>
  <c r="H18" i="1"/>
  <c r="G18" i="1"/>
  <c r="F18" i="1"/>
  <c r="E18" i="1"/>
  <c r="D18" i="1"/>
  <c r="C18" i="1"/>
  <c r="K17" i="1"/>
  <c r="J17" i="1"/>
  <c r="I17" i="1"/>
  <c r="H17" i="1"/>
  <c r="G17" i="1"/>
  <c r="F17" i="1"/>
  <c r="E17" i="1"/>
  <c r="D17" i="1"/>
  <c r="C17" i="1"/>
  <c r="I15" i="1"/>
  <c r="I14" i="1" s="1"/>
  <c r="G15" i="1"/>
  <c r="H15" i="1" s="1"/>
  <c r="F15" i="1"/>
  <c r="F14" i="1" s="1"/>
  <c r="F13" i="1" s="1"/>
  <c r="E15" i="1"/>
  <c r="E14" i="1" s="1"/>
  <c r="E13" i="1" s="1"/>
  <c r="C15" i="1"/>
  <c r="K8" i="1"/>
  <c r="J8" i="1"/>
  <c r="I8" i="1"/>
  <c r="H8" i="1"/>
  <c r="G8" i="1"/>
  <c r="F8" i="1"/>
  <c r="E8" i="1"/>
  <c r="D8" i="1"/>
  <c r="C8" i="1"/>
  <c r="K7" i="1"/>
  <c r="J7" i="1"/>
  <c r="I7" i="1"/>
  <c r="H7" i="1"/>
  <c r="G7" i="1"/>
  <c r="F7" i="1"/>
  <c r="E7" i="1"/>
  <c r="D7" i="1"/>
  <c r="C7" i="1"/>
  <c r="B5" i="1"/>
  <c r="H123" i="1" l="1"/>
  <c r="C54" i="1"/>
  <c r="E39" i="1"/>
  <c r="K39" i="1"/>
  <c r="J40" i="1"/>
  <c r="K96" i="1"/>
  <c r="F75" i="1"/>
  <c r="K355" i="1"/>
  <c r="H83" i="1"/>
  <c r="G39" i="1"/>
  <c r="F40" i="1"/>
  <c r="I44" i="1"/>
  <c r="H45" i="1"/>
  <c r="G50" i="1"/>
  <c r="E52" i="1"/>
  <c r="K52" i="1"/>
  <c r="G102" i="1"/>
  <c r="E96" i="1"/>
  <c r="I123" i="1"/>
  <c r="I122" i="1" s="1"/>
  <c r="C122" i="1"/>
  <c r="C121" i="1" s="1"/>
  <c r="J86" i="1"/>
  <c r="E191" i="1"/>
  <c r="H59" i="1"/>
  <c r="H58" i="1" s="1"/>
  <c r="J148" i="1"/>
  <c r="J130" i="1"/>
  <c r="G83" i="1"/>
  <c r="E102" i="1"/>
  <c r="E42" i="1"/>
  <c r="H39" i="1"/>
  <c r="H38" i="1" s="1"/>
  <c r="E43" i="1"/>
  <c r="I45" i="1"/>
  <c r="F52" i="1"/>
  <c r="C308" i="1"/>
  <c r="H108" i="1"/>
  <c r="D15" i="1"/>
  <c r="D14" i="1" s="1"/>
  <c r="D13" i="1" s="1"/>
  <c r="G42" i="1"/>
  <c r="G41" i="1" s="1"/>
  <c r="F43" i="1"/>
  <c r="E44" i="1"/>
  <c r="K44" i="1"/>
  <c r="J45" i="1"/>
  <c r="I50" i="1"/>
  <c r="I48" i="1" s="1"/>
  <c r="H51" i="1"/>
  <c r="G52" i="1"/>
  <c r="J63" i="1"/>
  <c r="K49" i="1"/>
  <c r="J107" i="1"/>
  <c r="J105" i="1" s="1"/>
  <c r="G307" i="1"/>
  <c r="J329" i="1"/>
  <c r="J75" i="1" s="1"/>
  <c r="D286" i="1"/>
  <c r="D285" i="1" s="1"/>
  <c r="K64" i="1"/>
  <c r="C355" i="1"/>
  <c r="C23" i="1"/>
  <c r="F98" i="1"/>
  <c r="F97" i="1" s="1"/>
  <c r="F100" i="1"/>
  <c r="G169" i="1"/>
  <c r="G168" i="1" s="1"/>
  <c r="I184" i="1"/>
  <c r="H286" i="1"/>
  <c r="H285" i="1" s="1"/>
  <c r="H100" i="1"/>
  <c r="J84" i="1"/>
  <c r="F82" i="1"/>
  <c r="F81" i="1" s="1"/>
  <c r="G122" i="1"/>
  <c r="G121" i="1" s="1"/>
  <c r="J220" i="1"/>
  <c r="J91" i="1" s="1"/>
  <c r="J90" i="1" s="1"/>
  <c r="K292" i="1"/>
  <c r="H68" i="1"/>
  <c r="H357" i="1"/>
  <c r="H355" i="1" s="1"/>
  <c r="D76" i="1"/>
  <c r="I96" i="1"/>
  <c r="I94" i="1" s="1"/>
  <c r="H40" i="1"/>
  <c r="F39" i="1"/>
  <c r="F38" i="1" s="1"/>
  <c r="K40" i="1"/>
  <c r="K38" i="1" s="1"/>
  <c r="J42" i="1"/>
  <c r="J41" i="1" s="1"/>
  <c r="H302" i="1"/>
  <c r="F50" i="1"/>
  <c r="F48" i="1" s="1"/>
  <c r="K51" i="1"/>
  <c r="J106" i="1"/>
  <c r="J115" i="1"/>
  <c r="H85" i="1"/>
  <c r="F87" i="1"/>
  <c r="H106" i="1"/>
  <c r="H105" i="1" s="1"/>
  <c r="D184" i="1"/>
  <c r="J69" i="1"/>
  <c r="D254" i="1"/>
  <c r="J38" i="1"/>
  <c r="H346" i="1"/>
  <c r="I88" i="1"/>
  <c r="I87" i="1" s="1"/>
  <c r="D105" i="1"/>
  <c r="I128" i="1"/>
  <c r="F169" i="1"/>
  <c r="F168" i="1" s="1"/>
  <c r="D191" i="1"/>
  <c r="G254" i="1"/>
  <c r="K307" i="1"/>
  <c r="J320" i="1"/>
  <c r="J66" i="1" s="1"/>
  <c r="J116" i="1"/>
  <c r="J56" i="1"/>
  <c r="H77" i="1"/>
  <c r="G40" i="1"/>
  <c r="J129" i="1"/>
  <c r="G75" i="1"/>
  <c r="G72" i="1" s="1"/>
  <c r="H44" i="1"/>
  <c r="H41" i="1" s="1"/>
  <c r="G45" i="1"/>
  <c r="G16" i="1"/>
  <c r="H49" i="1"/>
  <c r="H48" i="1" s="1"/>
  <c r="D59" i="1"/>
  <c r="D58" i="1" s="1"/>
  <c r="D53" i="1" s="1"/>
  <c r="D87" i="1"/>
  <c r="D79" i="1" s="1"/>
  <c r="H144" i="1"/>
  <c r="G191" i="1"/>
  <c r="E45" i="1"/>
  <c r="F307" i="1"/>
  <c r="J62" i="1"/>
  <c r="F349" i="1"/>
  <c r="H96" i="1"/>
  <c r="H94" i="1" s="1"/>
  <c r="F122" i="1"/>
  <c r="F121" i="1" s="1"/>
  <c r="D326" i="1"/>
  <c r="K15" i="1"/>
  <c r="J25" i="1"/>
  <c r="K29" i="1"/>
  <c r="C105" i="1"/>
  <c r="C103" i="1" s="1"/>
  <c r="C117" i="1"/>
  <c r="I117" i="1"/>
  <c r="I145" i="1"/>
  <c r="I144" i="1" s="1"/>
  <c r="I272" i="1"/>
  <c r="C293" i="1"/>
  <c r="H327" i="1"/>
  <c r="H340" i="1"/>
  <c r="H332" i="1" s="1"/>
  <c r="J380" i="1"/>
  <c r="J128" i="1" s="1"/>
  <c r="J383" i="1"/>
  <c r="K23" i="1"/>
  <c r="J27" i="1"/>
  <c r="E38" i="1"/>
  <c r="K42" i="1"/>
  <c r="K41" i="1" s="1"/>
  <c r="J47" i="1"/>
  <c r="J55" i="1"/>
  <c r="J57" i="1"/>
  <c r="F64" i="1"/>
  <c r="F61" i="1" s="1"/>
  <c r="J70" i="1"/>
  <c r="J120" i="1"/>
  <c r="F326" i="1"/>
  <c r="J30" i="1"/>
  <c r="J29" i="1" s="1"/>
  <c r="I43" i="1"/>
  <c r="I41" i="1" s="1"/>
  <c r="K45" i="1"/>
  <c r="J50" i="1"/>
  <c r="J67" i="1"/>
  <c r="J76" i="1"/>
  <c r="K82" i="1"/>
  <c r="I131" i="1"/>
  <c r="J160" i="1"/>
  <c r="F292" i="1"/>
  <c r="J308" i="1"/>
  <c r="F315" i="1"/>
  <c r="F314" i="1" s="1"/>
  <c r="G326" i="1"/>
  <c r="F379" i="1"/>
  <c r="J43" i="1"/>
  <c r="E63" i="1"/>
  <c r="E61" i="1" s="1"/>
  <c r="K146" i="1"/>
  <c r="K209" i="1"/>
  <c r="G295" i="1"/>
  <c r="J346" i="1"/>
  <c r="C87" i="1"/>
  <c r="J101" i="1"/>
  <c r="D315" i="1"/>
  <c r="C305" i="1"/>
  <c r="C51" i="1" s="1"/>
  <c r="E51" i="1"/>
  <c r="J52" i="1"/>
  <c r="E32" i="1"/>
  <c r="H14" i="1"/>
  <c r="I46" i="1"/>
  <c r="J14" i="1"/>
  <c r="J13" i="1" s="1"/>
  <c r="F31" i="1"/>
  <c r="E54" i="1"/>
  <c r="E53" i="1" s="1"/>
  <c r="G29" i="1"/>
  <c r="D72" i="1"/>
  <c r="I16" i="1"/>
  <c r="E16" i="1"/>
  <c r="F16" i="1"/>
  <c r="F23" i="1"/>
  <c r="H23" i="1"/>
  <c r="K61" i="1"/>
  <c r="G14" i="1"/>
  <c r="G13" i="1" s="1"/>
  <c r="F45" i="1"/>
  <c r="G47" i="1"/>
  <c r="E50" i="1"/>
  <c r="K50" i="1"/>
  <c r="H192" i="1"/>
  <c r="H67" i="1"/>
  <c r="E217" i="1"/>
  <c r="E88" i="1"/>
  <c r="F72" i="1"/>
  <c r="F94" i="1"/>
  <c r="F105" i="1"/>
  <c r="F103" i="1" s="1"/>
  <c r="G112" i="1"/>
  <c r="G111" i="1" s="1"/>
  <c r="J155" i="1"/>
  <c r="J288" i="1"/>
  <c r="I286" i="1"/>
  <c r="I285" i="1" s="1"/>
  <c r="H46" i="1"/>
  <c r="E41" i="1"/>
  <c r="G54" i="1"/>
  <c r="G53" i="1" s="1"/>
  <c r="I61" i="1"/>
  <c r="H69" i="1"/>
  <c r="F112" i="1"/>
  <c r="C112" i="1"/>
  <c r="C111" i="1" s="1"/>
  <c r="D127" i="1"/>
  <c r="K191" i="1"/>
  <c r="I191" i="1"/>
  <c r="J259" i="1"/>
  <c r="J132" i="1"/>
  <c r="K326" i="1"/>
  <c r="I363" i="1"/>
  <c r="K332" i="1"/>
  <c r="J16" i="1"/>
  <c r="D23" i="1"/>
  <c r="I54" i="1"/>
  <c r="I53" i="1" s="1"/>
  <c r="E72" i="1"/>
  <c r="J85" i="1"/>
  <c r="J89" i="1"/>
  <c r="J113" i="1"/>
  <c r="D122" i="1"/>
  <c r="E159" i="1"/>
  <c r="F285" i="1"/>
  <c r="F282" i="1" s="1"/>
  <c r="I315" i="1"/>
  <c r="E332" i="1"/>
  <c r="G97" i="1"/>
  <c r="H159" i="1"/>
  <c r="I249" i="1"/>
  <c r="E282" i="1"/>
  <c r="I292" i="1"/>
  <c r="E326" i="1"/>
  <c r="C327" i="1"/>
  <c r="C73" i="1" s="1"/>
  <c r="J369" i="1"/>
  <c r="J118" i="1"/>
  <c r="H374" i="1"/>
  <c r="H373" i="1" s="1"/>
  <c r="H124" i="1"/>
  <c r="H122" i="1" s="1"/>
  <c r="I134" i="1"/>
  <c r="H232" i="1"/>
  <c r="G239" i="1"/>
  <c r="G238" i="1" s="1"/>
  <c r="J114" i="1"/>
  <c r="H137" i="1"/>
  <c r="H134" i="1" s="1"/>
  <c r="H354" i="1"/>
  <c r="J356" i="1"/>
  <c r="H379" i="1"/>
  <c r="H128" i="1"/>
  <c r="F117" i="1"/>
  <c r="J169" i="1"/>
  <c r="J168" i="1" s="1"/>
  <c r="H169" i="1"/>
  <c r="J234" i="1"/>
  <c r="I237" i="1"/>
  <c r="F249" i="1"/>
  <c r="J251" i="1"/>
  <c r="C299" i="1"/>
  <c r="C45" i="1" s="1"/>
  <c r="J300" i="1"/>
  <c r="I302" i="1"/>
  <c r="I307" i="1"/>
  <c r="J386" i="1"/>
  <c r="H212" i="1"/>
  <c r="H211" i="1" s="1"/>
  <c r="I213" i="1"/>
  <c r="J213" i="1" s="1"/>
  <c r="F222" i="1"/>
  <c r="E239" i="1"/>
  <c r="E273" i="1"/>
  <c r="H292" i="1"/>
  <c r="K302" i="1"/>
  <c r="C348" i="1"/>
  <c r="C96" i="1" s="1"/>
  <c r="C94" i="1" s="1"/>
  <c r="K159" i="1"/>
  <c r="F254" i="1"/>
  <c r="H262" i="1"/>
  <c r="J318" i="1"/>
  <c r="I332" i="1"/>
  <c r="K105" i="1"/>
  <c r="E112" i="1"/>
  <c r="E111" i="1" s="1"/>
  <c r="K117" i="1"/>
  <c r="G211" i="1"/>
  <c r="E222" i="1"/>
  <c r="E221" i="1" s="1"/>
  <c r="E254" i="1"/>
  <c r="H312" i="1"/>
  <c r="H315" i="1"/>
  <c r="I331" i="1"/>
  <c r="J331" i="1" s="1"/>
  <c r="J334" i="1"/>
  <c r="G332" i="1"/>
  <c r="H350" i="1"/>
  <c r="I350" i="1" s="1"/>
  <c r="F363" i="1"/>
  <c r="E122" i="1"/>
  <c r="E121" i="1" s="1"/>
  <c r="E144" i="1"/>
  <c r="F191" i="1"/>
  <c r="K222" i="1"/>
  <c r="F332" i="1"/>
  <c r="J340" i="1"/>
  <c r="I355" i="1"/>
  <c r="I13" i="1"/>
  <c r="H53" i="1"/>
  <c r="E379" i="1"/>
  <c r="C381" i="1"/>
  <c r="C379" i="1" s="1"/>
  <c r="E129" i="1"/>
  <c r="H16" i="1"/>
  <c r="I32" i="1"/>
  <c r="I38" i="1"/>
  <c r="D48" i="1"/>
  <c r="K122" i="1"/>
  <c r="J32" i="1"/>
  <c r="K32" i="1"/>
  <c r="K103" i="1"/>
  <c r="C14" i="1"/>
  <c r="K16" i="1"/>
  <c r="C31" i="1"/>
  <c r="G48" i="1"/>
  <c r="K72" i="1"/>
  <c r="C81" i="1"/>
  <c r="E105" i="1"/>
  <c r="E23" i="1"/>
  <c r="G31" i="1"/>
  <c r="C16" i="1"/>
  <c r="H31" i="1"/>
  <c r="F41" i="1"/>
  <c r="C58" i="1"/>
  <c r="C53" i="1" s="1"/>
  <c r="D61" i="1"/>
  <c r="K97" i="1"/>
  <c r="D16" i="1"/>
  <c r="G23" i="1"/>
  <c r="D31" i="1"/>
  <c r="E46" i="1"/>
  <c r="K54" i="1"/>
  <c r="I23" i="1"/>
  <c r="F54" i="1"/>
  <c r="E81" i="1"/>
  <c r="F90" i="1"/>
  <c r="G94" i="1"/>
  <c r="K127" i="1"/>
  <c r="D131" i="1"/>
  <c r="F144" i="1"/>
  <c r="F159" i="1"/>
  <c r="G61" i="1"/>
  <c r="K87" i="1"/>
  <c r="G90" i="1"/>
  <c r="I105" i="1"/>
  <c r="G131" i="1"/>
  <c r="D144" i="1"/>
  <c r="H184" i="1"/>
  <c r="G87" i="1"/>
  <c r="E94" i="1"/>
  <c r="E117" i="1"/>
  <c r="H87" i="1"/>
  <c r="J94" i="1"/>
  <c r="D112" i="1"/>
  <c r="D117" i="1"/>
  <c r="K134" i="1"/>
  <c r="J145" i="1"/>
  <c r="C90" i="1"/>
  <c r="K94" i="1"/>
  <c r="H117" i="1"/>
  <c r="D97" i="1"/>
  <c r="E184" i="1"/>
  <c r="H112" i="1"/>
  <c r="F127" i="1"/>
  <c r="D121" i="1"/>
  <c r="F134" i="1"/>
  <c r="K112" i="1"/>
  <c r="G134" i="1"/>
  <c r="E134" i="1"/>
  <c r="G105" i="1"/>
  <c r="G117" i="1"/>
  <c r="J203" i="1"/>
  <c r="K239" i="1"/>
  <c r="D134" i="1"/>
  <c r="E169" i="1"/>
  <c r="J185" i="1"/>
  <c r="I127" i="1"/>
  <c r="J162" i="1"/>
  <c r="F184" i="1"/>
  <c r="D168" i="1"/>
  <c r="E97" i="1"/>
  <c r="I112" i="1"/>
  <c r="G145" i="1"/>
  <c r="G159" i="1"/>
  <c r="G184" i="1"/>
  <c r="F217" i="1"/>
  <c r="I169" i="1"/>
  <c r="G222" i="1"/>
  <c r="I159" i="1"/>
  <c r="K169" i="1"/>
  <c r="J190" i="1"/>
  <c r="J223" i="1"/>
  <c r="D162" i="1"/>
  <c r="J192" i="1"/>
  <c r="J218" i="1"/>
  <c r="G217" i="1"/>
  <c r="H259" i="1"/>
  <c r="K295" i="1"/>
  <c r="D276" i="1"/>
  <c r="D238" i="1"/>
  <c r="C300" i="1"/>
  <c r="D354" i="1"/>
  <c r="I229" i="1"/>
  <c r="K254" i="1"/>
  <c r="J262" i="1"/>
  <c r="H250" i="1"/>
  <c r="J276" i="1"/>
  <c r="G273" i="1"/>
  <c r="K184" i="1"/>
  <c r="D232" i="1"/>
  <c r="I239" i="1"/>
  <c r="J245" i="1"/>
  <c r="J292" i="1"/>
  <c r="J295" i="1"/>
  <c r="D222" i="1"/>
  <c r="H226" i="1"/>
  <c r="I227" i="1"/>
  <c r="J240" i="1"/>
  <c r="I254" i="1"/>
  <c r="C273" i="1"/>
  <c r="H274" i="1"/>
  <c r="G363" i="1"/>
  <c r="D273" i="1"/>
  <c r="G282" i="1"/>
  <c r="D379" i="1"/>
  <c r="J231" i="1"/>
  <c r="J274" i="1"/>
  <c r="H282" i="1"/>
  <c r="D293" i="1"/>
  <c r="F273" i="1"/>
  <c r="K274" i="1"/>
  <c r="C286" i="1"/>
  <c r="G292" i="1"/>
  <c r="C296" i="1"/>
  <c r="E295" i="1"/>
  <c r="C312" i="1"/>
  <c r="C307" i="1" s="1"/>
  <c r="J364" i="1"/>
  <c r="K378" i="1"/>
  <c r="D296" i="1"/>
  <c r="C297" i="1"/>
  <c r="C306" i="1"/>
  <c r="G346" i="1"/>
  <c r="J255" i="1"/>
  <c r="C298" i="1"/>
  <c r="F302" i="1"/>
  <c r="D306" i="1"/>
  <c r="C318" i="1"/>
  <c r="E315" i="1"/>
  <c r="H295" i="1"/>
  <c r="G302" i="1"/>
  <c r="D307" i="1"/>
  <c r="D332" i="1"/>
  <c r="E211" i="1"/>
  <c r="K286" i="1"/>
  <c r="F295" i="1"/>
  <c r="I295" i="1"/>
  <c r="D331" i="1"/>
  <c r="C350" i="1"/>
  <c r="E349" i="1"/>
  <c r="F378" i="1"/>
  <c r="J302" i="1"/>
  <c r="C329" i="1"/>
  <c r="C346" i="1"/>
  <c r="G379" i="1"/>
  <c r="K345" i="1"/>
  <c r="D373" i="1"/>
  <c r="J374" i="1"/>
  <c r="G315" i="1"/>
  <c r="H326" i="1"/>
  <c r="C332" i="1"/>
  <c r="F346" i="1"/>
  <c r="D349" i="1"/>
  <c r="D355" i="1"/>
  <c r="I385" i="1"/>
  <c r="J385" i="1" s="1"/>
  <c r="G373" i="1"/>
  <c r="E307" i="1"/>
  <c r="G349" i="1"/>
  <c r="J357" i="1"/>
  <c r="C331" i="1"/>
  <c r="D348" i="1"/>
  <c r="I352" i="1"/>
  <c r="J332" i="1" l="1"/>
  <c r="J315" i="1"/>
  <c r="G38" i="1"/>
  <c r="J54" i="1"/>
  <c r="F79" i="1"/>
  <c r="F78" i="1" s="1"/>
  <c r="H314" i="1"/>
  <c r="F362" i="1"/>
  <c r="H349" i="1"/>
  <c r="J127" i="1"/>
  <c r="J23" i="1"/>
  <c r="D126" i="1"/>
  <c r="J379" i="1"/>
  <c r="J378" i="1" s="1"/>
  <c r="J112" i="1"/>
  <c r="J111" i="1" s="1"/>
  <c r="K14" i="1"/>
  <c r="K145" i="1"/>
  <c r="J307" i="1"/>
  <c r="J46" i="1"/>
  <c r="J117" i="1"/>
  <c r="H73" i="1"/>
  <c r="H72" i="1" s="1"/>
  <c r="I327" i="1"/>
  <c r="J48" i="1"/>
  <c r="C292" i="1"/>
  <c r="C39" i="1"/>
  <c r="C38" i="1" s="1"/>
  <c r="C79" i="1"/>
  <c r="C78" i="1" s="1"/>
  <c r="K81" i="1"/>
  <c r="F238" i="1"/>
  <c r="J131" i="1"/>
  <c r="J64" i="1"/>
  <c r="I83" i="1"/>
  <c r="J250" i="1"/>
  <c r="J123" i="1"/>
  <c r="J104" i="1"/>
  <c r="J286" i="1"/>
  <c r="J34" i="1"/>
  <c r="H61" i="1"/>
  <c r="K362" i="1"/>
  <c r="K314" i="1"/>
  <c r="H28" i="1"/>
  <c r="F12" i="1"/>
  <c r="E12" i="1"/>
  <c r="I77" i="1"/>
  <c r="I212" i="1"/>
  <c r="H82" i="1"/>
  <c r="F28" i="1"/>
  <c r="H191" i="1"/>
  <c r="G46" i="1"/>
  <c r="F221" i="1"/>
  <c r="K291" i="1"/>
  <c r="G103" i="1"/>
  <c r="F93" i="1"/>
  <c r="E31" i="1"/>
  <c r="J237" i="1"/>
  <c r="J232" i="1" s="1"/>
  <c r="I108" i="1"/>
  <c r="I232" i="1"/>
  <c r="I354" i="1"/>
  <c r="H102" i="1"/>
  <c r="K48" i="1"/>
  <c r="H13" i="1"/>
  <c r="H307" i="1"/>
  <c r="E272" i="1"/>
  <c r="H127" i="1"/>
  <c r="E87" i="1"/>
  <c r="E79" i="1" s="1"/>
  <c r="H98" i="1"/>
  <c r="E238" i="1"/>
  <c r="H378" i="1"/>
  <c r="H362" i="1" s="1"/>
  <c r="F111" i="1"/>
  <c r="K221" i="1"/>
  <c r="J83" i="1"/>
  <c r="J77" i="1"/>
  <c r="H168" i="1"/>
  <c r="E48" i="1"/>
  <c r="E37" i="1" s="1"/>
  <c r="K168" i="1"/>
  <c r="H111" i="1"/>
  <c r="D346" i="1"/>
  <c r="D96" i="1"/>
  <c r="J373" i="1"/>
  <c r="J352" i="1"/>
  <c r="E345" i="1"/>
  <c r="G126" i="1"/>
  <c r="D167" i="1"/>
  <c r="K93" i="1"/>
  <c r="D111" i="1"/>
  <c r="E127" i="1"/>
  <c r="F345" i="1"/>
  <c r="G93" i="1"/>
  <c r="C349" i="1"/>
  <c r="C345" i="1" s="1"/>
  <c r="C98" i="1"/>
  <c r="I282" i="1"/>
  <c r="I111" i="1"/>
  <c r="K111" i="1"/>
  <c r="F53" i="1"/>
  <c r="F60" i="1"/>
  <c r="I37" i="1"/>
  <c r="D12" i="1"/>
  <c r="J12" i="1"/>
  <c r="E314" i="1"/>
  <c r="I133" i="1"/>
  <c r="I126" i="1" s="1"/>
  <c r="K344" i="1"/>
  <c r="C326" i="1"/>
  <c r="C75" i="1"/>
  <c r="C315" i="1"/>
  <c r="C64" i="1"/>
  <c r="J291" i="1"/>
  <c r="D109" i="1"/>
  <c r="D103" i="1" s="1"/>
  <c r="K238" i="1"/>
  <c r="E60" i="1"/>
  <c r="E103" i="1"/>
  <c r="D28" i="1"/>
  <c r="I31" i="1"/>
  <c r="J355" i="1"/>
  <c r="G144" i="1"/>
  <c r="E209" i="1"/>
  <c r="C44" i="1"/>
  <c r="C77" i="1"/>
  <c r="C52" i="1"/>
  <c r="J363" i="1"/>
  <c r="G291" i="1"/>
  <c r="K273" i="1"/>
  <c r="J191" i="1"/>
  <c r="H37" i="1"/>
  <c r="C28" i="1"/>
  <c r="G28" i="1"/>
  <c r="F272" i="1"/>
  <c r="D292" i="1"/>
  <c r="D39" i="1"/>
  <c r="D272" i="1"/>
  <c r="J229" i="1"/>
  <c r="I100" i="1"/>
  <c r="J189" i="1"/>
  <c r="J184" i="1" s="1"/>
  <c r="J59" i="1"/>
  <c r="G221" i="1"/>
  <c r="F209" i="1"/>
  <c r="J144" i="1"/>
  <c r="E93" i="1"/>
  <c r="K126" i="1"/>
  <c r="G378" i="1"/>
  <c r="D77" i="1"/>
  <c r="D314" i="1"/>
  <c r="C43" i="1"/>
  <c r="C285" i="1"/>
  <c r="H273" i="1"/>
  <c r="J239" i="1"/>
  <c r="H121" i="1"/>
  <c r="I121" i="1"/>
  <c r="I12" i="1"/>
  <c r="J254" i="1"/>
  <c r="D282" i="1"/>
  <c r="C378" i="1"/>
  <c r="C276" i="1"/>
  <c r="H254" i="1"/>
  <c r="J159" i="1"/>
  <c r="K60" i="1"/>
  <c r="K121" i="1"/>
  <c r="G12" i="1"/>
  <c r="J273" i="1"/>
  <c r="G272" i="1"/>
  <c r="H249" i="1"/>
  <c r="G209" i="1"/>
  <c r="I168" i="1"/>
  <c r="G60" i="1"/>
  <c r="K31" i="1"/>
  <c r="D295" i="1"/>
  <c r="D42" i="1"/>
  <c r="I349" i="1"/>
  <c r="J133" i="1"/>
  <c r="J217" i="1"/>
  <c r="J88" i="1"/>
  <c r="E168" i="1"/>
  <c r="C13" i="1"/>
  <c r="D78" i="1"/>
  <c r="C129" i="1"/>
  <c r="H345" i="1"/>
  <c r="E291" i="1"/>
  <c r="J227" i="1"/>
  <c r="I226" i="1"/>
  <c r="I98" i="1"/>
  <c r="I291" i="1"/>
  <c r="C295" i="1"/>
  <c r="C42" i="1"/>
  <c r="J102" i="1"/>
  <c r="G314" i="1"/>
  <c r="I378" i="1"/>
  <c r="F291" i="1"/>
  <c r="D52" i="1"/>
  <c r="H222" i="1"/>
  <c r="I238" i="1"/>
  <c r="D102" i="1"/>
  <c r="G79" i="1"/>
  <c r="K53" i="1"/>
  <c r="F37" i="1"/>
  <c r="K285" i="1"/>
  <c r="G345" i="1"/>
  <c r="H291" i="1"/>
  <c r="D378" i="1"/>
  <c r="D221" i="1"/>
  <c r="H209" i="1"/>
  <c r="D159" i="1"/>
  <c r="F126" i="1"/>
  <c r="H103" i="1"/>
  <c r="F92" i="1"/>
  <c r="E378" i="1"/>
  <c r="K290" i="1" l="1"/>
  <c r="H60" i="1"/>
  <c r="K144" i="1"/>
  <c r="D143" i="1"/>
  <c r="J37" i="1"/>
  <c r="I103" i="1"/>
  <c r="K13" i="1"/>
  <c r="K79" i="1"/>
  <c r="I73" i="1"/>
  <c r="I326" i="1"/>
  <c r="J327" i="1"/>
  <c r="K37" i="1"/>
  <c r="G37" i="1"/>
  <c r="G36" i="1" s="1"/>
  <c r="F167" i="1"/>
  <c r="H12" i="1"/>
  <c r="J61" i="1"/>
  <c r="G362" i="1"/>
  <c r="G110" i="1"/>
  <c r="J108" i="1"/>
  <c r="J122" i="1"/>
  <c r="I102" i="1"/>
  <c r="H81" i="1"/>
  <c r="J249" i="1"/>
  <c r="H126" i="1"/>
  <c r="H110" i="1" s="1"/>
  <c r="I211" i="1"/>
  <c r="I82" i="1"/>
  <c r="J212" i="1"/>
  <c r="J285" i="1"/>
  <c r="E28" i="1"/>
  <c r="H97" i="1"/>
  <c r="J31" i="1"/>
  <c r="C41" i="1"/>
  <c r="H167" i="1"/>
  <c r="D291" i="1"/>
  <c r="G167" i="1"/>
  <c r="E126" i="1"/>
  <c r="G78" i="1"/>
  <c r="C12" i="1"/>
  <c r="C344" i="1"/>
  <c r="D60" i="1"/>
  <c r="J238" i="1"/>
  <c r="C72" i="1"/>
  <c r="K110" i="1"/>
  <c r="H344" i="1"/>
  <c r="J58" i="1"/>
  <c r="D362" i="1"/>
  <c r="F290" i="1"/>
  <c r="H272" i="1"/>
  <c r="E92" i="1"/>
  <c r="K272" i="1"/>
  <c r="G92" i="1"/>
  <c r="C291" i="1"/>
  <c r="D41" i="1"/>
  <c r="E78" i="1"/>
  <c r="C127" i="1"/>
  <c r="J87" i="1"/>
  <c r="C272" i="1"/>
  <c r="E362" i="1"/>
  <c r="I362" i="1"/>
  <c r="I97" i="1"/>
  <c r="G290" i="1"/>
  <c r="J28" i="1"/>
  <c r="F110" i="1"/>
  <c r="I222" i="1"/>
  <c r="C362" i="1"/>
  <c r="J126" i="1"/>
  <c r="J100" i="1"/>
  <c r="I110" i="1"/>
  <c r="D110" i="1"/>
  <c r="K167" i="1"/>
  <c r="F36" i="1"/>
  <c r="E36" i="1"/>
  <c r="E344" i="1"/>
  <c r="J226" i="1"/>
  <c r="J98" i="1"/>
  <c r="H290" i="1"/>
  <c r="F344" i="1"/>
  <c r="K92" i="1"/>
  <c r="H238" i="1"/>
  <c r="K28" i="1"/>
  <c r="J362" i="1"/>
  <c r="J345" i="1"/>
  <c r="C97" i="1"/>
  <c r="G344" i="1"/>
  <c r="H221" i="1"/>
  <c r="E290" i="1"/>
  <c r="E167" i="1"/>
  <c r="I345" i="1"/>
  <c r="D38" i="1"/>
  <c r="J272" i="1"/>
  <c r="I28" i="1"/>
  <c r="C61" i="1"/>
  <c r="D94" i="1"/>
  <c r="K282" i="1"/>
  <c r="C314" i="1"/>
  <c r="D345" i="1"/>
  <c r="I72" i="1" l="1"/>
  <c r="K12" i="1"/>
  <c r="K78" i="1"/>
  <c r="J326" i="1"/>
  <c r="J73" i="1"/>
  <c r="I314" i="1"/>
  <c r="I81" i="1"/>
  <c r="I209" i="1"/>
  <c r="H79" i="1"/>
  <c r="G11" i="1"/>
  <c r="G6" i="1" s="1"/>
  <c r="F143" i="1"/>
  <c r="K36" i="1"/>
  <c r="J282" i="1"/>
  <c r="G271" i="1"/>
  <c r="J211" i="1"/>
  <c r="J82" i="1"/>
  <c r="J121" i="1"/>
  <c r="H93" i="1"/>
  <c r="J103" i="1"/>
  <c r="H271" i="1"/>
  <c r="G143" i="1"/>
  <c r="I93" i="1"/>
  <c r="C126" i="1"/>
  <c r="J53" i="1"/>
  <c r="I221" i="1"/>
  <c r="D290" i="1"/>
  <c r="I344" i="1"/>
  <c r="H143" i="1"/>
  <c r="F11" i="1"/>
  <c r="K271" i="1"/>
  <c r="C93" i="1"/>
  <c r="J97" i="1"/>
  <c r="C60" i="1"/>
  <c r="E143" i="1"/>
  <c r="J222" i="1"/>
  <c r="K143" i="1"/>
  <c r="D93" i="1"/>
  <c r="D37" i="1"/>
  <c r="E110" i="1"/>
  <c r="C37" i="1"/>
  <c r="E271" i="1"/>
  <c r="C290" i="1"/>
  <c r="C271" i="1" s="1"/>
  <c r="D344" i="1"/>
  <c r="J344" i="1"/>
  <c r="F271" i="1"/>
  <c r="J72" i="1" l="1"/>
  <c r="J314" i="1"/>
  <c r="J110" i="1"/>
  <c r="I290" i="1"/>
  <c r="I60" i="1"/>
  <c r="J81" i="1"/>
  <c r="I167" i="1"/>
  <c r="H92" i="1"/>
  <c r="J209" i="1"/>
  <c r="I79" i="1"/>
  <c r="K11" i="1"/>
  <c r="H78" i="1"/>
  <c r="H36" i="1"/>
  <c r="E11" i="1"/>
  <c r="F6" i="1"/>
  <c r="J93" i="1"/>
  <c r="D92" i="1"/>
  <c r="C92" i="1"/>
  <c r="C36" i="1"/>
  <c r="C110" i="1"/>
  <c r="J221" i="1"/>
  <c r="D36" i="1"/>
  <c r="D271" i="1"/>
  <c r="I92" i="1"/>
  <c r="I271" i="1" l="1"/>
  <c r="J60" i="1"/>
  <c r="I143" i="1"/>
  <c r="J290" i="1"/>
  <c r="I78" i="1"/>
  <c r="I36" i="1"/>
  <c r="H11" i="1"/>
  <c r="J79" i="1"/>
  <c r="J167" i="1"/>
  <c r="E6" i="1"/>
  <c r="J92" i="1"/>
  <c r="D11" i="1"/>
  <c r="C11" i="1"/>
  <c r="J271" i="1" l="1"/>
  <c r="J143" i="1"/>
  <c r="J78" i="1"/>
  <c r="J36" i="1"/>
  <c r="I11" i="1"/>
  <c r="H6" i="1"/>
  <c r="C6" i="1"/>
  <c r="D6" i="1"/>
  <c r="I6" i="1" l="1"/>
  <c r="J11" i="1"/>
  <c r="J6" i="1" l="1"/>
</calcChain>
</file>

<file path=xl/sharedStrings.xml><?xml version="1.0" encoding="utf-8"?>
<sst xmlns="http://schemas.openxmlformats.org/spreadsheetml/2006/main" count="779" uniqueCount="328">
  <si>
    <t>CONTUL DE EXECUŢIE A BUGETULUI LOCAL- CHELTUIELI</t>
  </si>
  <si>
    <t>dif</t>
  </si>
  <si>
    <t>cod 21</t>
  </si>
  <si>
    <t>Denumirea indicatorilor</t>
  </si>
  <si>
    <t>Cod indicator</t>
  </si>
  <si>
    <t>A</t>
  </si>
  <si>
    <t>B</t>
  </si>
  <si>
    <t>TOTAL CHELTUIELI 
(cod  50.02+59.02+63.02+70.02+74.02+79.02)</t>
  </si>
  <si>
    <t>49.02</t>
  </si>
  <si>
    <t>Partea I-a SERVICII PUBLICE GENERALE
(cod 51.02+54.02+55.02+56.02)</t>
  </si>
  <si>
    <t>50.02</t>
  </si>
  <si>
    <t>Autorităţi publice şi acţiuni externe
 (cod 51.02.01)</t>
  </si>
  <si>
    <t>51.02</t>
  </si>
  <si>
    <t>Autorităţi executive şi legislative 
(cod 51.02.01.03)</t>
  </si>
  <si>
    <t>51.02.01</t>
  </si>
  <si>
    <t xml:space="preserve">    Autorităţi  executive</t>
  </si>
  <si>
    <t>51.02.01.03</t>
  </si>
  <si>
    <t>Alte servicii publice generale
 (cod 54.02.05 la 54.02.07+54.02.10+54.02.50)</t>
  </si>
  <si>
    <t>54.02</t>
  </si>
  <si>
    <t>Fond de rezervă bugetară la dispoiţia autorităţilor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</si>
  <si>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</si>
  <si>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</si>
  <si>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</si>
  <si>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</si>
  <si>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</si>
  <si>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</si>
  <si>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</si>
  <si>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>Alte servicii publice generale</t>
  </si>
  <si>
    <t>54.02.50</t>
  </si>
  <si>
    <t>Tranzacţii privind datoria publică şi împrumuturi</t>
  </si>
  <si>
    <t>55.02</t>
  </si>
  <si>
    <t>Transferuri cu caracter general între diferite nivele ale administraţiei (cod 56.02.06+56.02.07+56.02.09)</t>
  </si>
  <si>
    <t>56.02</t>
  </si>
  <si>
    <t xml:space="preserve">      Transferuri din bugetele consiliilor judetene pentru finantarea centrelor pentru protectia copilului</t>
  </si>
  <si>
    <t>56.02.06</t>
  </si>
  <si>
    <t>Transferuri din bugetele consiliilor judeţene pentru finanţarea centrelor de zi pentru protecţia copilului</t>
  </si>
  <si>
    <t>Transferuri din bugetele locale pentru instituţiile de asistenţă socială pentru persoanele cu handicap</t>
  </si>
  <si>
    <t>56.02.07</t>
  </si>
  <si>
    <t>Transferuri din bugetele locale catre bugetul fondului de asigurări sociale de sănătate</t>
  </si>
  <si>
    <t>56.02.09</t>
  </si>
  <si>
    <t>Partea a II-a APĂRARE, ORDINE PUBLICĂ ŞI SIGURANŢĂ NAŢIONALĂ (60.02+61.02)</t>
  </si>
  <si>
    <t>59.02</t>
  </si>
  <si>
    <t>Apărare (cod 60.02.02)</t>
  </si>
  <si>
    <t>60.02</t>
  </si>
  <si>
    <t>Aparare nationala</t>
  </si>
  <si>
    <t>60.02.02</t>
  </si>
  <si>
    <t>Ordine publică şi siguranţă naţională 
(cod 61.02.03 +61.02.05+ 61.02.50)</t>
  </si>
  <si>
    <t>61.02</t>
  </si>
  <si>
    <t>Ordine publică (cod 61.02.03.04)</t>
  </si>
  <si>
    <t>61.02.03</t>
  </si>
  <si>
    <t xml:space="preserve">    Poliţie comunitară</t>
  </si>
  <si>
    <t>61.02.03.04</t>
  </si>
  <si>
    <t>Protecţie civilă şi protecţia contra incendiilor (protecţie civilă nonmilitară)</t>
  </si>
  <si>
    <t>61.02.05</t>
  </si>
  <si>
    <t xml:space="preserve">Alte cheltuieli în domeniul ordinii publice şi siguranţei naţionale </t>
  </si>
  <si>
    <t>61.02.50</t>
  </si>
  <si>
    <t>Partea a III-a CHELTUIELI SOCIAL-CULTURALE
( cod 65.02+66.02+67.02+68.02)</t>
  </si>
  <si>
    <t>63.02</t>
  </si>
  <si>
    <t>Învăţământ
 (cod 65.02.03 la 65.02.05+65.02.07+65.02.11+65.02.50)</t>
  </si>
  <si>
    <t>65.02</t>
  </si>
  <si>
    <t>Învăţământ preşcolar şi primar 
(cod 65.02.03.01+65.02.03.02)</t>
  </si>
  <si>
    <t>65.02.03</t>
  </si>
  <si>
    <t xml:space="preserve">    Învăţământ preşcolar</t>
  </si>
  <si>
    <t>65.02.03.01</t>
  </si>
  <si>
    <t xml:space="preserve">    Învăţământ primar</t>
  </si>
  <si>
    <t>65.02.03.02</t>
  </si>
  <si>
    <t>Învăţământ secundar
 (cod 65.02.04.01 la 65.02.04.03)</t>
  </si>
  <si>
    <t>65.02.04</t>
  </si>
  <si>
    <t xml:space="preserve">    Învăţământ secundar inferior</t>
  </si>
  <si>
    <t>65.02.04.01</t>
  </si>
  <si>
    <t xml:space="preserve">    Învăţământ secundar superior</t>
  </si>
  <si>
    <t>65.02.04.02</t>
  </si>
  <si>
    <t xml:space="preserve">    Învăţământ profesional</t>
  </si>
  <si>
    <t>65.02.04.03</t>
  </si>
  <si>
    <t>Învăţământ postliceal</t>
  </si>
  <si>
    <t>65.02.05</t>
  </si>
  <si>
    <t>Învăţământ nedefinibil prin nivel 
(cod 65.02.07.04)</t>
  </si>
  <si>
    <t>65.02.07</t>
  </si>
  <si>
    <t xml:space="preserve">    Învăţământ special</t>
  </si>
  <si>
    <t>65.02.07.04</t>
  </si>
  <si>
    <t>Servicii auxiliare pentru educaţie
(cod 65.02.11.03 + 65.02.11.30)</t>
  </si>
  <si>
    <t>65.02.11</t>
  </si>
  <si>
    <t xml:space="preserve">    Internate şi cantine pentru elevi</t>
  </si>
  <si>
    <t>65.02.11.03</t>
  </si>
  <si>
    <t xml:space="preserve">    Alte servicii auxiliare</t>
  </si>
  <si>
    <t>65.02.11.30</t>
  </si>
  <si>
    <t>Învățământ antepreșcolar</t>
  </si>
  <si>
    <t>65.02.13</t>
  </si>
  <si>
    <t>Alte cheltuieli în domeniul învăţământului</t>
  </si>
  <si>
    <t>65.02.50</t>
  </si>
  <si>
    <t>Sănătate (cod 66.02.06+66.02.08+66.02.50)</t>
  </si>
  <si>
    <t>66.02</t>
  </si>
  <si>
    <t>Servicii medicale în unităţi sanitare cu paturi (cod 66.02.06.01+66.02.06.03)</t>
  </si>
  <si>
    <t>66.02.06</t>
  </si>
  <si>
    <t xml:space="preserve">    Spitale generale</t>
  </si>
  <si>
    <t>66.02.06.01</t>
  </si>
  <si>
    <t xml:space="preserve">    Unităţi medico-sociale</t>
  </si>
  <si>
    <t>66.02.06.03</t>
  </si>
  <si>
    <t>Servicii de sănătate publică</t>
  </si>
  <si>
    <t>66.02.08</t>
  </si>
  <si>
    <t>Alte cheltuieli în domeniul sănătăţii
 (cod 66.02.50.50)</t>
  </si>
  <si>
    <t>66.02.50</t>
  </si>
  <si>
    <t xml:space="preserve">    Alte instituţii şi acţiuni sanitare</t>
  </si>
  <si>
    <t>66.02.50.50</t>
  </si>
  <si>
    <t>Cultură, recreere şi religie
 (cod 67.02.03+67.02.05+67.02.06+67.02.50)</t>
  </si>
  <si>
    <t>67.02</t>
  </si>
  <si>
    <t>Servicii culturale (cod 67.02.03.02 la 67.02.03.08+67.02.03.12+67.02.03.30)</t>
  </si>
  <si>
    <t>67.02.03</t>
  </si>
  <si>
    <t xml:space="preserve">    Biblioteci publice comunale, orăţeneşti, municipale </t>
  </si>
  <si>
    <t>67.02.03.02</t>
  </si>
  <si>
    <t xml:space="preserve">    Muzee</t>
  </si>
  <si>
    <t>67.02.03.03</t>
  </si>
  <si>
    <t xml:space="preserve">    Instituţii publice de spectacole şi concerte</t>
  </si>
  <si>
    <t>67.02.03.04</t>
  </si>
  <si>
    <t xml:space="preserve">    Şcoli populare de artă şi meserii</t>
  </si>
  <si>
    <t>67.02.03.05</t>
  </si>
  <si>
    <t xml:space="preserve">    Case de cultură</t>
  </si>
  <si>
    <t>67.02.03.06</t>
  </si>
  <si>
    <t xml:space="preserve">    Cămine culturale</t>
  </si>
  <si>
    <t>67.02.03.07</t>
  </si>
  <si>
    <t xml:space="preserve">    Centre pentru conservarea şi promovarea culturii tradiţionale</t>
  </si>
  <si>
    <t>67.02.03.08</t>
  </si>
  <si>
    <t xml:space="preserve">    Consolidarea şi restaurarea monumentelor istorice</t>
  </si>
  <si>
    <t>67.02.03.12</t>
  </si>
  <si>
    <t xml:space="preserve">Centre culturale </t>
  </si>
  <si>
    <t>67.02.03.14</t>
  </si>
  <si>
    <t xml:space="preserve">    Alte servicii culturale</t>
  </si>
  <si>
    <t>67.02.03.30</t>
  </si>
  <si>
    <t>Servicii recreative şi sportive 
(cod 67.02.05.01 la 67.02.05.03)</t>
  </si>
  <si>
    <t>67.02.05</t>
  </si>
  <si>
    <t xml:space="preserve">    Sport</t>
  </si>
  <si>
    <t>67.02.05.01</t>
  </si>
  <si>
    <t xml:space="preserve">    Tineret</t>
  </si>
  <si>
    <t>67.02.05.02</t>
  </si>
  <si>
    <t xml:space="preserve">    Întreţinere grădini publice, parcuri, zone verzi, baze sportive şi de agrement</t>
  </si>
  <si>
    <t>67.02.05.03</t>
  </si>
  <si>
    <t>Servicii religioase</t>
  </si>
  <si>
    <t>67.02.06</t>
  </si>
  <si>
    <t>Alte servicii în domeniile culturii, recreerii şi religiei</t>
  </si>
  <si>
    <t>67.02.50</t>
  </si>
  <si>
    <t>total DAS+66</t>
  </si>
  <si>
    <t>Asigurări şi asistenţă socială 
(cod 68.02.04 la 68.02.06+68.02.10+68.02.11+68.02.12+68.02.15+68.02.50)</t>
  </si>
  <si>
    <t>68.02</t>
  </si>
  <si>
    <t>Asistenţă acordată persoanelor în vârstă</t>
  </si>
  <si>
    <t>68.02.04</t>
  </si>
  <si>
    <t>Asistenţă socială în caz de boli şi invalidităţi (cod 68.02.05.02)</t>
  </si>
  <si>
    <t>68.02.05</t>
  </si>
  <si>
    <t xml:space="preserve">    Asistenţă socială în caz de invaliditate</t>
  </si>
  <si>
    <t>68.02.05.02</t>
  </si>
  <si>
    <t>Asistenţă socială pentru familie şi copii</t>
  </si>
  <si>
    <t>68.02.06</t>
  </si>
  <si>
    <t>Ajutoare pentru locuinţe</t>
  </si>
  <si>
    <t>68.02.10</t>
  </si>
  <si>
    <t>Creşe</t>
  </si>
  <si>
    <t>68.02.11</t>
  </si>
  <si>
    <t>Unităţi de asistenţă medico-sociale</t>
  </si>
  <si>
    <t>68.02.12</t>
  </si>
  <si>
    <t>Prevenirea excluderii sociale 
(cod 68.02.15.01+68.02.15.02)</t>
  </si>
  <si>
    <t>68.02.15</t>
  </si>
  <si>
    <t xml:space="preserve">    Ajutor social</t>
  </si>
  <si>
    <t>68.02.15.01</t>
  </si>
  <si>
    <t xml:space="preserve">    Cantine de ajutor social</t>
  </si>
  <si>
    <t>68.02.15.02</t>
  </si>
  <si>
    <t>Alte cheltuieli în domeniul asigurărilor şi asistenţei sociale</t>
  </si>
  <si>
    <t>68.02.50</t>
  </si>
  <si>
    <t>Alte cheltuieli în domeniul  asistenţei sociale</t>
  </si>
  <si>
    <t>68.02.50.50</t>
  </si>
  <si>
    <t>Partea a IV-a SERVICII ŞI DEZVOLTARE PUBLICĂ, LOCUINŢE, MEDIU ŞI APE (cod 70.02+74.02)</t>
  </si>
  <si>
    <t>Locuinţe, servicii şi dezvoltare publică 
(cod 70.02.03+70.02.05 la 70.02.07+70.02.50)</t>
  </si>
  <si>
    <t>70.02</t>
  </si>
  <si>
    <t>Locuinţe (cod 70.02.03.01+70.02.03.30)</t>
  </si>
  <si>
    <t>70.02.03</t>
  </si>
  <si>
    <t xml:space="preserve">    Dezvoltarea sistemului de locuinţe</t>
  </si>
  <si>
    <t>70.02.03.01</t>
  </si>
  <si>
    <t xml:space="preserve">    Alte cheltuieli în domeniul locuinţelor</t>
  </si>
  <si>
    <t>70.02.03.30</t>
  </si>
  <si>
    <t>Alimentări cu apă şi amenajări hidrotehnice 
(cod 70.02.05.01+70.02.05.02)</t>
  </si>
  <si>
    <t>70.02.05</t>
  </si>
  <si>
    <t xml:space="preserve">    Alimentare cu apă</t>
  </si>
  <si>
    <t>70.02.05.01</t>
  </si>
  <si>
    <t xml:space="preserve">    Amenajări hidrotehnice </t>
  </si>
  <si>
    <t>70.02.05.02</t>
  </si>
  <si>
    <t>Iluminat public şi electrificări rurale</t>
  </si>
  <si>
    <t>70.02.06</t>
  </si>
  <si>
    <t>Alimentare cu gaze naturale în localităţi</t>
  </si>
  <si>
    <t>70.02.07</t>
  </si>
  <si>
    <t>Alte servicii în domeniul locuinţelor, serviciilor şi dezvoltării comunale</t>
  </si>
  <si>
    <t>70.02.50</t>
  </si>
  <si>
    <t>Protecţia mediului (cod 74.02.03+74.02.05+74.02.06)</t>
  </si>
  <si>
    <t>74.02</t>
  </si>
  <si>
    <t xml:space="preserve">Reducerea şi controlul poluării </t>
  </si>
  <si>
    <t>74.02.03</t>
  </si>
  <si>
    <t>Salubritate şi gestiunea deşeurilor
(cod 74.02.05.01+74.02.05.02)</t>
  </si>
  <si>
    <t>74.02.05</t>
  </si>
  <si>
    <t xml:space="preserve">    Salubritate</t>
  </si>
  <si>
    <t>74.02.05.01</t>
  </si>
  <si>
    <t xml:space="preserve">    Colectarea, tratarea şi distrugerea deşeurilor</t>
  </si>
  <si>
    <t>74.02.05.02</t>
  </si>
  <si>
    <t>Canalizarea şi tratarea apelor reziduale</t>
  </si>
  <si>
    <t>74.02.06</t>
  </si>
  <si>
    <t>Alte servicii în domeniul protecţiei mediului</t>
  </si>
  <si>
    <t>74.02.50</t>
  </si>
  <si>
    <t>Partea a V-a ACŢIUNI ECONOMICE  (80.02+81.02+83.02+84.02+87.02)</t>
  </si>
  <si>
    <t>79.02</t>
  </si>
  <si>
    <t xml:space="preserve">Acţiuni generale economice, comerciale şi de muncă (cod 80.02.01) </t>
  </si>
  <si>
    <t>80.02</t>
  </si>
  <si>
    <t>Acţiuni generale economice şi comerciale (cod 80.02.01.06+80.02.01.09+80.02.01.10+80.02.01.30)</t>
  </si>
  <si>
    <t>80.02.01</t>
  </si>
  <si>
    <t xml:space="preserve">    Prevenire şi combatere inundaţii şi gheţuri</t>
  </si>
  <si>
    <t>80.02.01.06</t>
  </si>
  <si>
    <t xml:space="preserve">    Stimulare întreprinderi mici şi mijlocii</t>
  </si>
  <si>
    <t>80.02.01.09</t>
  </si>
  <si>
    <t xml:space="preserve">    Programe de dezvoltare regională şi socială</t>
  </si>
  <si>
    <t>80.02.01.10</t>
  </si>
  <si>
    <t xml:space="preserve">    Alte cheltuieli pentru acţiuni economice şi comerciale</t>
  </si>
  <si>
    <t>80.02.01.30</t>
  </si>
  <si>
    <t>Combustibili şi energie 
(cod 81.02.06+81.02.07+81.02.50)</t>
  </si>
  <si>
    <t>81.02</t>
  </si>
  <si>
    <t>Energie termică</t>
  </si>
  <si>
    <t>81.02.06</t>
  </si>
  <si>
    <t>Alţi combustibili</t>
  </si>
  <si>
    <t>81.02.07</t>
  </si>
  <si>
    <t>Alte cheltuieli privind combustibili şi energia</t>
  </si>
  <si>
    <t>81.02.50</t>
  </si>
  <si>
    <t>Agricultură, silvicultură, piscicultură şi vânătoare
 (cod 83.02.03)</t>
  </si>
  <si>
    <t>83.02</t>
  </si>
  <si>
    <t>Agricultură (cod 83.02.03.03+83.02.03.07+83.02.03.30)</t>
  </si>
  <si>
    <t>83.02.03</t>
  </si>
  <si>
    <t xml:space="preserve">    Protecţia plantelor şi carantină fitosanitară</t>
  </si>
  <si>
    <t>83.02.03.03.</t>
  </si>
  <si>
    <t xml:space="preserve">    Camere agricole</t>
  </si>
  <si>
    <t>83.02.03.07</t>
  </si>
  <si>
    <t xml:space="preserve">    Alte cheltuieli în domeniul agriculturii</t>
  </si>
  <si>
    <t>83.02.03.30</t>
  </si>
  <si>
    <t>Transporturi (cod 84.02.03+84.02.06+84.02.50)</t>
  </si>
  <si>
    <t>84.02</t>
  </si>
  <si>
    <t>Transport rutier (cod 84.02.03.01 la 84.02.03.03)</t>
  </si>
  <si>
    <t>84.02.03</t>
  </si>
  <si>
    <t xml:space="preserve">    Drumuri şi poduri</t>
  </si>
  <si>
    <t>84.02.03.01</t>
  </si>
  <si>
    <t xml:space="preserve">    Transport în comun</t>
  </si>
  <si>
    <t>84.02.03.02</t>
  </si>
  <si>
    <t xml:space="preserve">    Străzi</t>
  </si>
  <si>
    <t>84.02.03.03</t>
  </si>
  <si>
    <t>Transport aerian (cod 84.02.06.02)</t>
  </si>
  <si>
    <t>84.02.06</t>
  </si>
  <si>
    <t xml:space="preserve">    Aviaţia civilă</t>
  </si>
  <si>
    <t>84.02.06.02</t>
  </si>
  <si>
    <t>Alte cheltuieli în domeniul transporturilor</t>
  </si>
  <si>
    <t>84.02.50</t>
  </si>
  <si>
    <t>Alte acţiuni economice 
(cod 87.02.01+87.02.03   la 87.02.05+87.02.50)</t>
  </si>
  <si>
    <t>87.02</t>
  </si>
  <si>
    <t>Fondul Român de Dezvoltare Socială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</si>
  <si>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</si>
  <si>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</si>
  <si>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</si>
  <si>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</si>
  <si>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</si>
  <si>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</si>
  <si>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</si>
  <si>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acţiuni economice</t>
  </si>
  <si>
    <t>87.02.50</t>
  </si>
  <si>
    <t>Partea a VII-a REZERVE, EXCEDENT/DEFICIT</t>
  </si>
  <si>
    <t>96.02</t>
  </si>
  <si>
    <t>Excedent (cod 00.01-49.02)</t>
  </si>
  <si>
    <t>98.02</t>
  </si>
  <si>
    <t>99.02</t>
  </si>
  <si>
    <t>CHELTUIELILE SECŢIUNII DE FUNCŢIONARE 
(cod 50.02+59.02+63.02+70.02+74.02+79.02)</t>
  </si>
  <si>
    <t>Partea I-a SERVICII PUBLICE GENERALE 
(cod 51.02+54.02+55.02+56.02)</t>
  </si>
  <si>
    <t>Autorităţi publice şi acţiuni externe (cod 51.02.01)</t>
  </si>
  <si>
    <t>Autorităţi executive şi legislative (cod 51.02.01.03)</t>
  </si>
  <si>
    <t>Autorităţi executive</t>
  </si>
  <si>
    <t>Alte servicii publice generale (cod 54.02.05 la 54.02.07+54.02.10+54.02.50)</t>
  </si>
  <si>
    <t>Fond de rezervă bugetară la dispoziţia autorităţilor locale</t>
  </si>
  <si>
    <t>Apărare naţională</t>
  </si>
  <si>
    <t>Ordine publică şi siguranţă naţională
 (cod 61.02.03+61.02.05+61.02.50)</t>
  </si>
  <si>
    <t>Învăţământ preşcolar şi primar (cod 65.02.03.01+65.02.03.02)</t>
  </si>
  <si>
    <t>Învăţământ secundar (cod 65.02.04.01 la 65.02.04.03)</t>
  </si>
  <si>
    <t xml:space="preserve">   Învăţământ secundar inferior</t>
  </si>
  <si>
    <t>Învăţământ nedefinibil prin nivel (cod 65.02.07.04)</t>
  </si>
  <si>
    <t>Servicii auxiliare pentru educaţie (cod 65.02.11.03 + 65.02.11.30)</t>
  </si>
  <si>
    <t>Cultură, recreere şi religie (cod 67.02.03+67.02.05+67.02.06+67.02.50)</t>
  </si>
  <si>
    <t xml:space="preserve">    Biblioteci publice comunale, orăşeneşti, municipale </t>
  </si>
  <si>
    <t>Servicii recreative şi sportive (cod 67.02.05.01 la 67.02.05.03)</t>
  </si>
  <si>
    <t>Alte servicii în domeniile culturii, recreerii si religiei</t>
  </si>
  <si>
    <t xml:space="preserve"> Asigurări şi asistenţă socială (cod 68.02.04 la 68.02.06 +68.02.10+68.02.11+68.02.12+68.02.15+68.02.50)</t>
  </si>
  <si>
    <t>Locuinţe, servicii şi dezvoltare publică (cod 70.02.03+70.02.05 la 70.02.07+70.02.50)</t>
  </si>
  <si>
    <t>Alimentare cu apă şi amenajări hidrotehnice (cod 70.02.05.01+70.02.05.02)</t>
  </si>
  <si>
    <t>Salubritate şi gestiunea deşeurilor (cod 74.02.05.01+74.02.05.02)</t>
  </si>
  <si>
    <t>Acţiuni generale economice şi comerciale (cod 80.02.01.06+ 80.02.01.09+ 80.02.01.10+ 80.02.01.30)</t>
  </si>
  <si>
    <t>Combustibili şi energie
 (cod 81.02.06+81.02.07+81.02.50)</t>
  </si>
  <si>
    <t>Agricultură, silvicultură, piscicultură şi vânătoare 
(cod 83.02.03)</t>
  </si>
  <si>
    <t>Transport rutier 
(cod 84.02.03.01 la cod 84.02.03.03)</t>
  </si>
  <si>
    <t>Alte acţiuni economice (cod 87.02.01+87.02.03 la 87.02.05+87.02.50)</t>
  </si>
  <si>
    <t>Proiecte de dezvoltare multifuncţionale</t>
  </si>
  <si>
    <t>Partea a VII-a REZERVE, EXCEDENT/DEFICIT (98.02-99.02)</t>
  </si>
  <si>
    <t>EXCEDENT (cod 00.01-49.02)</t>
  </si>
  <si>
    <t>CHELTUIELILE SECŢIUNII DE DEZVOLTARE 
(cod 50.02+59.02+63.02+70.02+74.02+79.02)</t>
  </si>
  <si>
    <t>Partea I-a SERVICII PUBLICE GENERALE
 (cod 51.02+54.02)</t>
  </si>
  <si>
    <t>Ordine publică şi siguranţă naţională 
(cod 61.02.03+61.02.05+61.02.50)</t>
  </si>
  <si>
    <t>Partea a III-a CHELTUIELI SOCIAL-CULTURALE
 (cod 65.02+66.02+67.02+68.02)</t>
  </si>
  <si>
    <t>Învăţământ 
(cod 65.02.03 la 65.02.05+65.02.07+65.02.11+65.02.50)</t>
  </si>
  <si>
    <t xml:space="preserve">   Învăţământ special</t>
  </si>
  <si>
    <t>Sănătate 
(cod 66.02.06+66.02.08+66.02.50)</t>
  </si>
  <si>
    <t>Alte cheltuieli în domeniul sănătăţii (cod 66.02.50.50)</t>
  </si>
  <si>
    <t>Cultură, recreere şi religie 
(cod 67.02.03+67.02.05+67.02.06+67.02.50)</t>
  </si>
  <si>
    <t xml:space="preserve">    Biblioteci publice comunale, oraşeneşti, municipale </t>
  </si>
  <si>
    <t xml:space="preserve">     Întreţinere grădini publice, parcuri, zone verzi, baze sportive şi de agrement</t>
  </si>
  <si>
    <t>Prevenirea excluderii sociale (cod 68.02.15.01+68.02.15.02)</t>
  </si>
  <si>
    <t>Partea a IV-a SERVICII ŞI DEZVOLTARE PUBLICĂ, LOCUINŢE, MEDIU ŞI APE
 (cod 70.02+74.02)</t>
  </si>
  <si>
    <t>Alimentări cu apă şi amenajări hidrotehnice (cod 70.02.05.01+70.02.05.02)</t>
  </si>
  <si>
    <t>Salubritate şi gestiunea deşeurilor 
(cod 74.02.05.01+74.02.05.02)</t>
  </si>
  <si>
    <t>Partea aV-a ACŢIUNI ECONOMICE  (80.02+81.02+83.02+84.02+87.02)</t>
  </si>
  <si>
    <t>Combustibili şi energie (cod 81.02.06+81.02.07+81.02.50)</t>
  </si>
  <si>
    <t>Agricultură, silvicultură, piscicultură şi vânătoare (cod 83.02.03)</t>
  </si>
  <si>
    <t>Alte acţiuni economice (cod 87.02.01+87.02.03 la cod 87.02.05+87.02.50)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</si>
  <si>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</si>
  <si>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</si>
  <si>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</si>
  <si>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</si>
  <si>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</si>
  <si>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</si>
  <si>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 xml:space="preserve">Anexa nr.2 </t>
  </si>
  <si>
    <t>PRIMĂRIA MUNICIPIULUI SATU MARE</t>
  </si>
  <si>
    <t>SERVICIUL BUGET</t>
  </si>
  <si>
    <r>
      <t>Deficit</t>
    </r>
    <r>
      <rPr>
        <vertAlign val="superscript"/>
        <sz val="11"/>
        <rFont val="Arial"/>
        <family val="2"/>
        <charset val="238"/>
      </rPr>
      <t xml:space="preserve">1) </t>
    </r>
    <r>
      <rPr>
        <sz val="11"/>
        <rFont val="Arial"/>
        <family val="2"/>
        <charset val="238"/>
      </rPr>
      <t>(cod 49.02-00.01)</t>
    </r>
  </si>
  <si>
    <r>
      <t>Deficit</t>
    </r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(cod 49.02-00.01)</t>
    </r>
  </si>
  <si>
    <r>
      <t xml:space="preserve">DEFICIT </t>
    </r>
    <r>
      <rPr>
        <vertAlign val="superscript"/>
        <sz val="11"/>
        <rFont val="Arial"/>
        <family val="2"/>
        <charset val="238"/>
      </rPr>
      <t xml:space="preserve">1) </t>
    </r>
    <r>
      <rPr>
        <sz val="11"/>
        <rFont val="Arial"/>
        <family val="2"/>
        <charset val="238"/>
      </rPr>
      <t>(cod 49.02-00.01)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</si>
</sst>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RomHelvetica"/>
      <charset val="238"/>
    </font>
    <font>
      <b/>
      <sz val="7"/>
      <color theme="0"/>
      <name val="RomHelvetica"/>
      <charset val="238"/>
    </font>
    <font>
      <b/>
      <sz val="10"/>
      <color theme="0"/>
      <name val="RomHelvetica"/>
      <charset val="238"/>
    </font>
    <font>
      <sz val="7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name val="Arial"/>
      <family val="2"/>
      <charset val="238"/>
    </font>
    <font>
      <b/>
      <sz val="11"/>
      <name val="Arial"/>
      <family val="2"/>
    </font>
    <font>
      <sz val="7"/>
      <name val="Arial"/>
      <family val="2"/>
      <charset val="238"/>
    </font>
    <font>
      <sz val="9"/>
      <name val="Arial"/>
      <family val="2"/>
      <charset val="238"/>
    </font>
    <font>
      <b/>
      <sz val="7"/>
      <name val="RomHelvetica"/>
      <charset val="238"/>
    </font>
    <font>
      <sz val="11"/>
      <name val="Arial"/>
      <family val="2"/>
      <charset val="238"/>
    </font>
    <font>
      <b/>
      <sz val="10"/>
      <name val="Calibri"/>
      <family val="2"/>
    </font>
    <font>
      <sz val="10"/>
      <color theme="0"/>
      <name val="Arial"/>
      <family val="2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RomHelvetica"/>
      <charset val="238"/>
    </font>
    <font>
      <sz val="11"/>
      <color theme="0"/>
      <name val="Arial"/>
      <family val="2"/>
      <charset val="238"/>
    </font>
    <font>
      <b/>
      <sz val="11"/>
      <name val="RomHelvetica"/>
      <charset val="238"/>
    </font>
    <font>
      <vertAlign val="superscript"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u/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theme="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3">
    <xf numFmtId="0" fontId="0" fillId="0" borderId="0" xfId="0"/>
    <xf numFmtId="0" fontId="2" fillId="0" borderId="0" xfId="0" applyFont="1" applyAlignment="1">
      <alignment horizontal="right" vertical="top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3" fontId="6" fillId="2" borderId="0" xfId="0" applyNumberFormat="1" applyFont="1" applyFill="1" applyAlignment="1">
      <alignment horizontal="center" vertical="top"/>
    </xf>
    <xf numFmtId="0" fontId="0" fillId="2" borderId="0" xfId="0" applyFill="1"/>
    <xf numFmtId="0" fontId="7" fillId="0" borderId="0" xfId="0" applyFont="1" applyAlignment="1">
      <alignment vertical="top" wrapText="1"/>
    </xf>
    <xf numFmtId="3" fontId="8" fillId="2" borderId="0" xfId="0" quotePrefix="1" applyNumberFormat="1" applyFont="1" applyFill="1" applyAlignment="1">
      <alignment horizontal="center" wrapText="1"/>
    </xf>
    <xf numFmtId="0" fontId="12" fillId="4" borderId="13" xfId="0" applyFont="1" applyFill="1" applyBorder="1" applyAlignment="1">
      <alignment horizontal="center" vertical="center" wrapText="1"/>
    </xf>
    <xf numFmtId="3" fontId="14" fillId="10" borderId="11" xfId="0" applyNumberFormat="1" applyFont="1" applyFill="1" applyBorder="1" applyAlignment="1">
      <alignment horizontal="right" vertical="top"/>
    </xf>
    <xf numFmtId="0" fontId="11" fillId="0" borderId="0" xfId="0" applyFont="1"/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3" fillId="0" borderId="0" xfId="2" applyFont="1"/>
    <xf numFmtId="1" fontId="3" fillId="0" borderId="0" xfId="2" applyNumberFormat="1" applyFont="1" applyAlignment="1">
      <alignment horizontal="center"/>
    </xf>
    <xf numFmtId="0" fontId="9" fillId="0" borderId="0" xfId="2" applyFont="1" applyAlignment="1">
      <alignment horizontal="center"/>
    </xf>
    <xf numFmtId="0" fontId="3" fillId="0" borderId="0" xfId="0" applyFont="1"/>
    <xf numFmtId="0" fontId="16" fillId="0" borderId="0" xfId="0" applyFont="1"/>
    <xf numFmtId="0" fontId="17" fillId="6" borderId="10" xfId="0" applyFont="1" applyFill="1" applyBorder="1" applyAlignment="1">
      <alignment horizontal="center" vertical="top" wrapText="1"/>
    </xf>
    <xf numFmtId="0" fontId="18" fillId="9" borderId="10" xfId="0" applyFont="1" applyFill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9" fillId="4" borderId="8" xfId="0" applyFont="1" applyFill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0" fontId="19" fillId="4" borderId="9" xfId="0" applyFont="1" applyFill="1" applyBorder="1" applyAlignment="1">
      <alignment horizontal="center" vertical="center" wrapText="1"/>
    </xf>
    <xf numFmtId="3" fontId="19" fillId="6" borderId="11" xfId="0" applyNumberFormat="1" applyFont="1" applyFill="1" applyBorder="1" applyAlignment="1">
      <alignment horizontal="center" vertical="center" wrapText="1"/>
    </xf>
    <xf numFmtId="3" fontId="19" fillId="6" borderId="11" xfId="0" applyNumberFormat="1" applyFont="1" applyFill="1" applyBorder="1" applyAlignment="1">
      <alignment horizontal="right" vertical="center" wrapText="1"/>
    </xf>
    <xf numFmtId="3" fontId="19" fillId="6" borderId="12" xfId="0" applyNumberFormat="1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11" xfId="0" applyFont="1" applyFill="1" applyBorder="1" applyAlignment="1">
      <alignment horizontal="center" vertical="top" wrapText="1"/>
    </xf>
    <xf numFmtId="3" fontId="19" fillId="7" borderId="11" xfId="0" applyNumberFormat="1" applyFont="1" applyFill="1" applyBorder="1" applyAlignment="1">
      <alignment horizontal="right" vertical="top" wrapText="1"/>
    </xf>
    <xf numFmtId="3" fontId="19" fillId="7" borderId="12" xfId="0" applyNumberFormat="1" applyFont="1" applyFill="1" applyBorder="1" applyAlignment="1">
      <alignment horizontal="right" vertical="top" wrapText="1"/>
    </xf>
    <xf numFmtId="0" fontId="19" fillId="8" borderId="10" xfId="0" applyFont="1" applyFill="1" applyBorder="1" applyAlignment="1">
      <alignment horizontal="center" vertical="top" wrapText="1"/>
    </xf>
    <xf numFmtId="0" fontId="19" fillId="8" borderId="11" xfId="0" quotePrefix="1" applyFont="1" applyFill="1" applyBorder="1" applyAlignment="1">
      <alignment horizontal="center" vertical="top" wrapText="1"/>
    </xf>
    <xf numFmtId="3" fontId="19" fillId="8" borderId="11" xfId="0" applyNumberFormat="1" applyFont="1" applyFill="1" applyBorder="1" applyAlignment="1">
      <alignment horizontal="right" vertical="top" wrapText="1"/>
    </xf>
    <xf numFmtId="3" fontId="19" fillId="8" borderId="12" xfId="0" applyNumberFormat="1" applyFont="1" applyFill="1" applyBorder="1" applyAlignment="1">
      <alignment horizontal="right" vertical="top" wrapText="1"/>
    </xf>
    <xf numFmtId="0" fontId="20" fillId="9" borderId="10" xfId="0" applyFont="1" applyFill="1" applyBorder="1" applyAlignment="1">
      <alignment horizontal="center" vertical="top" wrapText="1"/>
    </xf>
    <xf numFmtId="0" fontId="20" fillId="9" borderId="11" xfId="0" quotePrefix="1" applyFont="1" applyFill="1" applyBorder="1" applyAlignment="1">
      <alignment horizontal="center" vertical="top" wrapText="1"/>
    </xf>
    <xf numFmtId="3" fontId="20" fillId="9" borderId="11" xfId="0" applyNumberFormat="1" applyFont="1" applyFill="1" applyBorder="1" applyAlignment="1">
      <alignment horizontal="right" vertical="top" wrapText="1"/>
    </xf>
    <xf numFmtId="3" fontId="20" fillId="9" borderId="12" xfId="0" applyNumberFormat="1" applyFont="1" applyFill="1" applyBorder="1" applyAlignment="1">
      <alignment horizontal="right" vertical="top" wrapText="1"/>
    </xf>
    <xf numFmtId="0" fontId="14" fillId="0" borderId="10" xfId="0" applyFont="1" applyBorder="1" applyAlignment="1">
      <alignment vertical="top" wrapText="1"/>
    </xf>
    <xf numFmtId="0" fontId="14" fillId="0" borderId="11" xfId="0" quotePrefix="1" applyFont="1" applyBorder="1" applyAlignment="1">
      <alignment horizontal="center" vertical="top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horizontal="right" vertical="top" wrapText="1"/>
    </xf>
    <xf numFmtId="3" fontId="14" fillId="4" borderId="11" xfId="0" applyNumberFormat="1" applyFont="1" applyFill="1" applyBorder="1" applyAlignment="1">
      <alignment horizontal="right" vertical="top" wrapText="1"/>
    </xf>
    <xf numFmtId="3" fontId="14" fillId="0" borderId="11" xfId="0" applyNumberFormat="1" applyFont="1" applyBorder="1" applyAlignment="1">
      <alignment horizontal="center" vertical="top" wrapText="1"/>
    </xf>
    <xf numFmtId="3" fontId="21" fillId="0" borderId="11" xfId="0" applyNumberFormat="1" applyFont="1" applyBorder="1" applyAlignment="1">
      <alignment horizontal="center" vertical="top" wrapText="1"/>
    </xf>
    <xf numFmtId="3" fontId="21" fillId="0" borderId="11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 applyAlignment="1">
      <alignment vertical="top" wrapText="1"/>
    </xf>
    <xf numFmtId="3" fontId="14" fillId="0" borderId="11" xfId="0" applyNumberFormat="1" applyFont="1" applyBorder="1" applyAlignment="1">
      <alignment vertical="top"/>
    </xf>
    <xf numFmtId="3" fontId="14" fillId="0" borderId="12" xfId="0" applyNumberFormat="1" applyFont="1" applyBorder="1"/>
    <xf numFmtId="0" fontId="14" fillId="0" borderId="11" xfId="0" applyFont="1" applyBorder="1" applyAlignment="1">
      <alignment horizontal="center" vertical="top" wrapText="1"/>
    </xf>
    <xf numFmtId="0" fontId="20" fillId="9" borderId="10" xfId="0" applyFont="1" applyFill="1" applyBorder="1" applyAlignment="1">
      <alignment vertical="top" wrapText="1"/>
    </xf>
    <xf numFmtId="0" fontId="14" fillId="0" borderId="10" xfId="0" applyFont="1" applyBorder="1" applyAlignment="1">
      <alignment horizontal="center" vertical="top" wrapText="1"/>
    </xf>
    <xf numFmtId="0" fontId="14" fillId="4" borderId="13" xfId="0" applyFont="1" applyFill="1" applyBorder="1" applyAlignment="1">
      <alignment vertical="center" wrapText="1"/>
    </xf>
    <xf numFmtId="0" fontId="22" fillId="0" borderId="10" xfId="0" applyFont="1" applyBorder="1" applyAlignment="1">
      <alignment horizontal="right" vertical="center" wrapText="1"/>
    </xf>
    <xf numFmtId="3" fontId="22" fillId="4" borderId="11" xfId="0" applyNumberFormat="1" applyFont="1" applyFill="1" applyBorder="1" applyAlignment="1">
      <alignment horizontal="right" vertical="top" wrapText="1"/>
    </xf>
    <xf numFmtId="3" fontId="19" fillId="0" borderId="11" xfId="0" applyNumberFormat="1" applyFont="1" applyBorder="1" applyAlignment="1">
      <alignment horizontal="right" vertical="top" wrapText="1"/>
    </xf>
    <xf numFmtId="3" fontId="19" fillId="0" borderId="12" xfId="0" applyNumberFormat="1" applyFont="1" applyBorder="1" applyAlignment="1">
      <alignment horizontal="right" vertical="top" wrapText="1"/>
    </xf>
    <xf numFmtId="3" fontId="14" fillId="5" borderId="12" xfId="0" applyNumberFormat="1" applyFont="1" applyFill="1" applyBorder="1" applyAlignment="1">
      <alignment horizontal="right" vertical="top" wrapText="1"/>
    </xf>
    <xf numFmtId="3" fontId="14" fillId="7" borderId="11" xfId="0" applyNumberFormat="1" applyFont="1" applyFill="1" applyBorder="1" applyAlignment="1">
      <alignment horizontal="center" vertical="top" wrapText="1"/>
    </xf>
    <xf numFmtId="3" fontId="21" fillId="7" borderId="11" xfId="0" applyNumberFormat="1" applyFont="1" applyFill="1" applyBorder="1" applyAlignment="1">
      <alignment horizontal="center" vertical="top" wrapText="1"/>
    </xf>
    <xf numFmtId="3" fontId="21" fillId="7" borderId="11" xfId="0" applyNumberFormat="1" applyFont="1" applyFill="1" applyBorder="1" applyAlignment="1">
      <alignment horizontal="center" vertical="center" wrapText="1"/>
    </xf>
    <xf numFmtId="3" fontId="21" fillId="7" borderId="11" xfId="0" applyNumberFormat="1" applyFont="1" applyFill="1" applyBorder="1" applyAlignment="1">
      <alignment vertical="top" wrapText="1"/>
    </xf>
    <xf numFmtId="3" fontId="14" fillId="7" borderId="11" xfId="0" applyNumberFormat="1" applyFont="1" applyFill="1" applyBorder="1" applyAlignment="1">
      <alignment vertical="top" wrapText="1"/>
    </xf>
    <xf numFmtId="3" fontId="14" fillId="7" borderId="12" xfId="0" applyNumberFormat="1" applyFont="1" applyFill="1" applyBorder="1"/>
    <xf numFmtId="0" fontId="23" fillId="0" borderId="10" xfId="0" applyFont="1" applyBorder="1" applyAlignment="1">
      <alignment vertical="top" wrapText="1"/>
    </xf>
    <xf numFmtId="0" fontId="14" fillId="0" borderId="11" xfId="0" quotePrefix="1" applyFont="1" applyBorder="1" applyAlignment="1">
      <alignment horizontal="center" vertical="top"/>
    </xf>
    <xf numFmtId="3" fontId="14" fillId="0" borderId="11" xfId="0" applyNumberFormat="1" applyFont="1" applyBorder="1" applyAlignment="1">
      <alignment horizontal="center" vertical="top"/>
    </xf>
    <xf numFmtId="3" fontId="14" fillId="0" borderId="11" xfId="0" applyNumberFormat="1" applyFont="1" applyBorder="1"/>
    <xf numFmtId="3" fontId="14" fillId="0" borderId="11" xfId="0" applyNumberFormat="1" applyFont="1" applyBorder="1" applyAlignment="1">
      <alignment horizontal="center" vertical="center"/>
    </xf>
    <xf numFmtId="3" fontId="14" fillId="0" borderId="11" xfId="0" applyNumberFormat="1" applyFont="1" applyBorder="1" applyAlignment="1">
      <alignment vertical="top" wrapText="1"/>
    </xf>
    <xf numFmtId="0" fontId="23" fillId="0" borderId="11" xfId="0" applyFont="1" applyBorder="1" applyAlignment="1">
      <alignment horizontal="left" wrapText="1"/>
    </xf>
    <xf numFmtId="0" fontId="19" fillId="6" borderId="14" xfId="0" applyFont="1" applyFill="1" applyBorder="1" applyAlignment="1">
      <alignment horizontal="center" vertical="top" wrapText="1"/>
    </xf>
    <xf numFmtId="3" fontId="19" fillId="6" borderId="14" xfId="0" applyNumberFormat="1" applyFont="1" applyFill="1" applyBorder="1" applyAlignment="1">
      <alignment horizontal="right" vertical="center" wrapText="1"/>
    </xf>
    <xf numFmtId="0" fontId="19" fillId="7" borderId="7" xfId="0" applyFont="1" applyFill="1" applyBorder="1" applyAlignment="1">
      <alignment horizontal="center" vertical="top" wrapText="1"/>
    </xf>
    <xf numFmtId="0" fontId="19" fillId="7" borderId="8" xfId="0" applyFont="1" applyFill="1" applyBorder="1" applyAlignment="1">
      <alignment horizontal="center" vertical="top" wrapText="1"/>
    </xf>
    <xf numFmtId="3" fontId="19" fillId="7" borderId="8" xfId="0" applyNumberFormat="1" applyFont="1" applyFill="1" applyBorder="1" applyAlignment="1">
      <alignment horizontal="right" vertical="center" wrapText="1"/>
    </xf>
    <xf numFmtId="3" fontId="19" fillId="7" borderId="11" xfId="0" applyNumberFormat="1" applyFont="1" applyFill="1" applyBorder="1" applyAlignment="1">
      <alignment horizontal="right" vertical="center" wrapText="1"/>
    </xf>
    <xf numFmtId="3" fontId="19" fillId="8" borderId="11" xfId="0" applyNumberFormat="1" applyFont="1" applyFill="1" applyBorder="1" applyAlignment="1">
      <alignment horizontal="right" vertical="center" wrapText="1"/>
    </xf>
    <xf numFmtId="3" fontId="19" fillId="8" borderId="12" xfId="0" applyNumberFormat="1" applyFont="1" applyFill="1" applyBorder="1" applyAlignment="1">
      <alignment horizontal="right" vertical="center" wrapText="1"/>
    </xf>
    <xf numFmtId="3" fontId="20" fillId="9" borderId="11" xfId="0" applyNumberFormat="1" applyFont="1" applyFill="1" applyBorder="1" applyAlignment="1">
      <alignment horizontal="right" vertical="center" wrapText="1"/>
    </xf>
    <xf numFmtId="3" fontId="20" fillId="9" borderId="12" xfId="0" applyNumberFormat="1" applyFont="1" applyFill="1" applyBorder="1" applyAlignment="1">
      <alignment horizontal="right" vertical="center" wrapText="1"/>
    </xf>
    <xf numFmtId="3" fontId="14" fillId="0" borderId="11" xfId="0" applyNumberFormat="1" applyFont="1" applyBorder="1" applyAlignment="1">
      <alignment horizontal="center" vertical="center" wrapText="1"/>
    </xf>
    <xf numFmtId="3" fontId="21" fillId="10" borderId="11" xfId="0" applyNumberFormat="1" applyFont="1" applyFill="1" applyBorder="1" applyAlignment="1">
      <alignment horizontal="right" vertical="center" wrapText="1"/>
    </xf>
    <xf numFmtId="3" fontId="14" fillId="10" borderId="12" xfId="0" applyNumberFormat="1" applyFont="1" applyFill="1" applyBorder="1" applyAlignment="1">
      <alignment horizontal="right" vertical="center"/>
    </xf>
    <xf numFmtId="3" fontId="19" fillId="8" borderId="11" xfId="0" applyNumberFormat="1" applyFont="1" applyFill="1" applyBorder="1" applyAlignment="1">
      <alignment vertical="center" wrapText="1"/>
    </xf>
    <xf numFmtId="3" fontId="19" fillId="8" borderId="12" xfId="0" applyNumberFormat="1" applyFont="1" applyFill="1" applyBorder="1" applyAlignment="1">
      <alignment vertical="center" wrapText="1"/>
    </xf>
    <xf numFmtId="3" fontId="21" fillId="4" borderId="11" xfId="0" applyNumberFormat="1" applyFont="1" applyFill="1" applyBorder="1" applyAlignment="1">
      <alignment horizontal="right" vertical="center" wrapText="1"/>
    </xf>
    <xf numFmtId="3" fontId="14" fillId="4" borderId="11" xfId="0" applyNumberFormat="1" applyFont="1" applyFill="1" applyBorder="1" applyAlignment="1">
      <alignment horizontal="right" vertical="top"/>
    </xf>
    <xf numFmtId="3" fontId="14" fillId="4" borderId="12" xfId="0" applyNumberFormat="1" applyFont="1" applyFill="1" applyBorder="1" applyAlignment="1">
      <alignment horizontal="right" vertical="center"/>
    </xf>
    <xf numFmtId="3" fontId="21" fillId="0" borderId="11" xfId="0" applyNumberFormat="1" applyFont="1" applyBorder="1" applyAlignment="1">
      <alignment horizontal="right" vertical="center" wrapText="1"/>
    </xf>
    <xf numFmtId="3" fontId="14" fillId="0" borderId="12" xfId="0" applyNumberFormat="1" applyFont="1" applyBorder="1" applyAlignment="1">
      <alignment horizontal="center" vertical="center"/>
    </xf>
    <xf numFmtId="3" fontId="19" fillId="8" borderId="11" xfId="0" applyNumberFormat="1" applyFont="1" applyFill="1" applyBorder="1" applyAlignment="1">
      <alignment horizontal="center" vertical="center" wrapText="1"/>
    </xf>
    <xf numFmtId="3" fontId="19" fillId="7" borderId="12" xfId="0" applyNumberFormat="1" applyFont="1" applyFill="1" applyBorder="1" applyAlignment="1">
      <alignment horizontal="right" vertical="center" wrapText="1"/>
    </xf>
    <xf numFmtId="3" fontId="14" fillId="0" borderId="12" xfId="0" applyNumberFormat="1" applyFont="1" applyBorder="1" applyAlignment="1">
      <alignment horizontal="right" vertical="center"/>
    </xf>
    <xf numFmtId="3" fontId="20" fillId="9" borderId="11" xfId="0" applyNumberFormat="1" applyFont="1" applyFill="1" applyBorder="1" applyAlignment="1">
      <alignment vertical="center" wrapText="1"/>
    </xf>
    <xf numFmtId="3" fontId="20" fillId="9" borderId="12" xfId="0" applyNumberFormat="1" applyFont="1" applyFill="1" applyBorder="1" applyAlignment="1">
      <alignment vertical="center" wrapText="1"/>
    </xf>
    <xf numFmtId="3" fontId="21" fillId="9" borderId="11" xfId="0" applyNumberFormat="1" applyFont="1" applyFill="1" applyBorder="1" applyAlignment="1">
      <alignment horizontal="right" vertical="center" wrapText="1"/>
    </xf>
    <xf numFmtId="3" fontId="14" fillId="0" borderId="11" xfId="0" applyNumberFormat="1" applyFont="1" applyBorder="1" applyAlignment="1">
      <alignment horizontal="right" vertical="center" wrapText="1"/>
    </xf>
    <xf numFmtId="3" fontId="21" fillId="0" borderId="16" xfId="0" applyNumberFormat="1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center"/>
    </xf>
    <xf numFmtId="3" fontId="14" fillId="2" borderId="11" xfId="0" applyNumberFormat="1" applyFont="1" applyFill="1" applyBorder="1" applyAlignment="1">
      <alignment horizontal="center" vertical="center" wrapText="1"/>
    </xf>
    <xf numFmtId="3" fontId="21" fillId="0" borderId="11" xfId="0" applyNumberFormat="1" applyFont="1" applyBorder="1" applyAlignment="1">
      <alignment vertical="center" wrapText="1"/>
    </xf>
    <xf numFmtId="3" fontId="14" fillId="0" borderId="12" xfId="0" applyNumberFormat="1" applyFont="1" applyBorder="1" applyAlignment="1">
      <alignment vertical="center"/>
    </xf>
    <xf numFmtId="3" fontId="21" fillId="4" borderId="11" xfId="0" applyNumberFormat="1" applyFont="1" applyFill="1" applyBorder="1" applyAlignment="1">
      <alignment horizontal="center" vertical="center" wrapText="1"/>
    </xf>
    <xf numFmtId="3" fontId="14" fillId="10" borderId="12" xfId="0" applyNumberFormat="1" applyFont="1" applyFill="1" applyBorder="1" applyAlignment="1">
      <alignment vertical="center"/>
    </xf>
    <xf numFmtId="3" fontId="21" fillId="0" borderId="17" xfId="0" applyNumberFormat="1" applyFont="1" applyBorder="1" applyAlignment="1">
      <alignment horizontal="center" vertical="center" wrapText="1"/>
    </xf>
    <xf numFmtId="3" fontId="21" fillId="0" borderId="17" xfId="0" applyNumberFormat="1" applyFont="1" applyBorder="1" applyAlignment="1">
      <alignment horizontal="right" vertical="center" wrapText="1"/>
    </xf>
    <xf numFmtId="3" fontId="26" fillId="0" borderId="11" xfId="0" applyNumberFormat="1" applyFont="1" applyBorder="1" applyAlignment="1">
      <alignment horizontal="center" vertical="center" wrapText="1"/>
    </xf>
    <xf numFmtId="3" fontId="21" fillId="0" borderId="16" xfId="0" applyNumberFormat="1" applyFont="1" applyBorder="1" applyAlignment="1">
      <alignment horizontal="right" vertical="center" wrapText="1"/>
    </xf>
    <xf numFmtId="3" fontId="23" fillId="7" borderId="11" xfId="0" applyNumberFormat="1" applyFont="1" applyFill="1" applyBorder="1" applyAlignment="1">
      <alignment horizontal="right" vertical="center" wrapText="1"/>
    </xf>
    <xf numFmtId="3" fontId="19" fillId="7" borderId="11" xfId="0" applyNumberFormat="1" applyFont="1" applyFill="1" applyBorder="1" applyAlignment="1">
      <alignment horizontal="right" vertical="top"/>
    </xf>
    <xf numFmtId="3" fontId="19" fillId="7" borderId="12" xfId="0" applyNumberFormat="1" applyFont="1" applyFill="1" applyBorder="1" applyAlignment="1">
      <alignment horizontal="right" vertical="center"/>
    </xf>
    <xf numFmtId="0" fontId="23" fillId="0" borderId="4" xfId="0" applyFont="1" applyBorder="1" applyAlignment="1">
      <alignment horizontal="left" wrapText="1"/>
    </xf>
    <xf numFmtId="0" fontId="14" fillId="0" borderId="5" xfId="0" quotePrefix="1" applyFont="1" applyBorder="1" applyAlignment="1">
      <alignment horizontal="center" vertical="top"/>
    </xf>
    <xf numFmtId="3" fontId="14" fillId="0" borderId="5" xfId="0" applyNumberFormat="1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 wrapText="1"/>
    </xf>
    <xf numFmtId="3" fontId="21" fillId="0" borderId="5" xfId="0" applyNumberFormat="1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top" wrapText="1"/>
    </xf>
    <xf numFmtId="3" fontId="19" fillId="6" borderId="2" xfId="0" applyNumberFormat="1" applyFont="1" applyFill="1" applyBorder="1" applyAlignment="1">
      <alignment horizontal="right" vertical="center" wrapText="1"/>
    </xf>
    <xf numFmtId="3" fontId="19" fillId="6" borderId="21" xfId="0" applyNumberFormat="1" applyFont="1" applyFill="1" applyBorder="1" applyAlignment="1">
      <alignment horizontal="right" vertical="center" wrapText="1"/>
    </xf>
    <xf numFmtId="3" fontId="14" fillId="0" borderId="11" xfId="0" quotePrefix="1" applyNumberFormat="1" applyFont="1" applyBorder="1" applyAlignment="1">
      <alignment horizontal="center" vertical="top" wrapText="1"/>
    </xf>
    <xf numFmtId="3" fontId="19" fillId="8" borderId="11" xfId="0" quotePrefix="1" applyNumberFormat="1" applyFont="1" applyFill="1" applyBorder="1" applyAlignment="1">
      <alignment horizontal="center" vertical="top" wrapText="1"/>
    </xf>
    <xf numFmtId="3" fontId="20" fillId="9" borderId="11" xfId="0" quotePrefix="1" applyNumberFormat="1" applyFont="1" applyFill="1" applyBorder="1" applyAlignment="1">
      <alignment horizontal="center" vertical="top" wrapText="1"/>
    </xf>
    <xf numFmtId="0" fontId="14" fillId="0" borderId="10" xfId="0" applyFont="1" applyBorder="1" applyAlignment="1">
      <alignment horizontal="left" vertical="justify" wrapText="1"/>
    </xf>
    <xf numFmtId="3" fontId="14" fillId="11" borderId="12" xfId="0" applyNumberFormat="1" applyFont="1" applyFill="1" applyBorder="1" applyAlignment="1">
      <alignment horizontal="right" vertical="center"/>
    </xf>
    <xf numFmtId="3" fontId="26" fillId="0" borderId="11" xfId="0" applyNumberFormat="1" applyFont="1" applyBorder="1" applyAlignment="1">
      <alignment horizontal="right" vertical="center" wrapText="1"/>
    </xf>
    <xf numFmtId="0" fontId="20" fillId="9" borderId="10" xfId="0" applyFont="1" applyFill="1" applyBorder="1" applyAlignment="1">
      <alignment horizontal="left" vertical="top" wrapText="1"/>
    </xf>
    <xf numFmtId="3" fontId="14" fillId="7" borderId="11" xfId="0" applyNumberFormat="1" applyFont="1" applyFill="1" applyBorder="1" applyAlignment="1">
      <alignment horizontal="right" vertical="center" wrapText="1"/>
    </xf>
    <xf numFmtId="3" fontId="21" fillId="7" borderId="11" xfId="0" applyNumberFormat="1" applyFont="1" applyFill="1" applyBorder="1" applyAlignment="1">
      <alignment horizontal="right" vertical="center" wrapText="1"/>
    </xf>
    <xf numFmtId="3" fontId="14" fillId="7" borderId="11" xfId="0" applyNumberFormat="1" applyFont="1" applyFill="1" applyBorder="1" applyAlignment="1">
      <alignment horizontal="right" vertical="top"/>
    </xf>
    <xf numFmtId="3" fontId="14" fillId="7" borderId="12" xfId="0" applyNumberFormat="1" applyFont="1" applyFill="1" applyBorder="1" applyAlignment="1">
      <alignment horizontal="right" vertical="center"/>
    </xf>
    <xf numFmtId="3" fontId="14" fillId="0" borderId="11" xfId="0" applyNumberFormat="1" applyFont="1" applyBorder="1" applyAlignment="1">
      <alignment horizontal="right" vertical="top"/>
    </xf>
    <xf numFmtId="3" fontId="14" fillId="0" borderId="5" xfId="0" applyNumberFormat="1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 wrapText="1"/>
    </xf>
    <xf numFmtId="3" fontId="21" fillId="0" borderId="5" xfId="0" applyNumberFormat="1" applyFont="1" applyBorder="1" applyAlignment="1">
      <alignment horizontal="right" vertical="center" wrapText="1"/>
    </xf>
    <xf numFmtId="3" fontId="14" fillId="0" borderId="5" xfId="0" applyNumberFormat="1" applyFont="1" applyBorder="1" applyAlignment="1">
      <alignment horizontal="right" vertical="top"/>
    </xf>
    <xf numFmtId="3" fontId="14" fillId="0" borderId="18" xfId="0" applyNumberFormat="1" applyFont="1" applyBorder="1" applyAlignment="1">
      <alignment horizontal="right" vertical="center"/>
    </xf>
    <xf numFmtId="0" fontId="28" fillId="6" borderId="11" xfId="0" applyFont="1" applyFill="1" applyBorder="1" applyAlignment="1">
      <alignment horizontal="center" vertical="top" wrapText="1"/>
    </xf>
    <xf numFmtId="0" fontId="28" fillId="7" borderId="11" xfId="0" applyFont="1" applyFill="1" applyBorder="1" applyAlignment="1">
      <alignment horizontal="center" vertical="top" wrapText="1"/>
    </xf>
    <xf numFmtId="0" fontId="28" fillId="8" borderId="11" xfId="0" quotePrefix="1" applyFont="1" applyFill="1" applyBorder="1" applyAlignment="1">
      <alignment horizontal="center" vertical="top" wrapText="1"/>
    </xf>
    <xf numFmtId="0" fontId="29" fillId="9" borderId="11" xfId="0" quotePrefix="1" applyFont="1" applyFill="1" applyBorder="1" applyAlignment="1">
      <alignment horizontal="center" vertical="top" wrapText="1"/>
    </xf>
    <xf numFmtId="0" fontId="12" fillId="0" borderId="11" xfId="0" quotePrefix="1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30" fillId="0" borderId="11" xfId="0" quotePrefix="1" applyFont="1" applyBorder="1" applyAlignment="1">
      <alignment horizontal="center" vertical="top" wrapText="1"/>
    </xf>
    <xf numFmtId="0" fontId="12" fillId="7" borderId="11" xfId="0" applyFont="1" applyFill="1" applyBorder="1" applyAlignment="1">
      <alignment horizontal="center" vertical="top" wrapText="1"/>
    </xf>
    <xf numFmtId="0" fontId="12" fillId="0" borderId="11" xfId="0" quotePrefix="1" applyFont="1" applyBorder="1" applyAlignment="1">
      <alignment horizontal="center" vertical="top"/>
    </xf>
    <xf numFmtId="0" fontId="28" fillId="6" borderId="14" xfId="0" applyFont="1" applyFill="1" applyBorder="1" applyAlignment="1">
      <alignment horizontal="center" vertical="top" wrapText="1"/>
    </xf>
    <xf numFmtId="0" fontId="28" fillId="7" borderId="8" xfId="0" applyFont="1" applyFill="1" applyBorder="1" applyAlignment="1">
      <alignment horizontal="center" vertical="top" wrapText="1"/>
    </xf>
    <xf numFmtId="0" fontId="12" fillId="4" borderId="11" xfId="0" quotePrefix="1" applyFont="1" applyFill="1" applyBorder="1" applyAlignment="1">
      <alignment horizontal="center" vertical="top" wrapText="1"/>
    </xf>
    <xf numFmtId="0" fontId="12" fillId="0" borderId="5" xfId="0" quotePrefix="1" applyFont="1" applyBorder="1" applyAlignment="1">
      <alignment horizontal="center" vertical="top"/>
    </xf>
    <xf numFmtId="0" fontId="28" fillId="6" borderId="20" xfId="0" applyFont="1" applyFill="1" applyBorder="1" applyAlignment="1">
      <alignment horizontal="center" vertical="top" wrapText="1"/>
    </xf>
    <xf numFmtId="0" fontId="14" fillId="0" borderId="10" xfId="0" applyFont="1" applyBorder="1" applyAlignment="1">
      <alignment horizontal="left" vertical="top" wrapText="1"/>
    </xf>
    <xf numFmtId="3" fontId="19" fillId="6" borderId="14" xfId="0" applyNumberFormat="1" applyFont="1" applyFill="1" applyBorder="1" applyAlignment="1">
      <alignment vertical="center" wrapText="1"/>
    </xf>
    <xf numFmtId="3" fontId="19" fillId="6" borderId="15" xfId="0" applyNumberFormat="1" applyFont="1" applyFill="1" applyBorder="1" applyAlignment="1">
      <alignment vertical="center" wrapText="1"/>
    </xf>
    <xf numFmtId="3" fontId="19" fillId="7" borderId="8" xfId="0" applyNumberFormat="1" applyFont="1" applyFill="1" applyBorder="1" applyAlignment="1">
      <alignment vertical="center" wrapText="1"/>
    </xf>
    <xf numFmtId="3" fontId="19" fillId="7" borderId="11" xfId="0" applyNumberFormat="1" applyFont="1" applyFill="1" applyBorder="1" applyAlignment="1">
      <alignment vertical="center" wrapText="1"/>
    </xf>
    <xf numFmtId="3" fontId="19" fillId="7" borderId="9" xfId="0" applyNumberFormat="1" applyFont="1" applyFill="1" applyBorder="1" applyAlignment="1">
      <alignment vertical="center" wrapText="1"/>
    </xf>
    <xf numFmtId="3" fontId="21" fillId="10" borderId="11" xfId="0" applyNumberFormat="1" applyFont="1" applyFill="1" applyBorder="1" applyAlignment="1">
      <alignment vertical="center" wrapText="1"/>
    </xf>
    <xf numFmtId="3" fontId="21" fillId="4" borderId="11" xfId="0" applyNumberFormat="1" applyFont="1" applyFill="1" applyBorder="1" applyAlignment="1">
      <alignment vertical="center" wrapText="1"/>
    </xf>
    <xf numFmtId="3" fontId="14" fillId="4" borderId="11" xfId="0" applyNumberFormat="1" applyFont="1" applyFill="1" applyBorder="1" applyAlignment="1">
      <alignment vertical="top"/>
    </xf>
    <xf numFmtId="3" fontId="14" fillId="4" borderId="12" xfId="0" applyNumberFormat="1" applyFont="1" applyFill="1" applyBorder="1" applyAlignment="1">
      <alignment vertical="center"/>
    </xf>
    <xf numFmtId="3" fontId="14" fillId="10" borderId="11" xfId="0" applyNumberFormat="1" applyFont="1" applyFill="1" applyBorder="1" applyAlignment="1">
      <alignment vertical="top"/>
    </xf>
    <xf numFmtId="3" fontId="23" fillId="8" borderId="11" xfId="0" applyNumberFormat="1" applyFont="1" applyFill="1" applyBorder="1" applyAlignment="1">
      <alignment vertical="center" wrapText="1"/>
    </xf>
    <xf numFmtId="3" fontId="25" fillId="8" borderId="12" xfId="0" applyNumberFormat="1" applyFont="1" applyFill="1" applyBorder="1" applyAlignment="1">
      <alignment vertical="center"/>
    </xf>
    <xf numFmtId="3" fontId="14" fillId="0" borderId="11" xfId="0" applyNumberFormat="1" applyFont="1" applyBorder="1" applyAlignment="1">
      <alignment vertical="center"/>
    </xf>
    <xf numFmtId="3" fontId="20" fillId="0" borderId="11" xfId="0" applyNumberFormat="1" applyFont="1" applyBorder="1" applyAlignment="1">
      <alignment horizontal="right" vertical="center" wrapText="1"/>
    </xf>
    <xf numFmtId="3" fontId="14" fillId="0" borderId="11" xfId="0" quotePrefix="1" applyNumberFormat="1" applyFont="1" applyBorder="1" applyAlignment="1">
      <alignment horizontal="right" vertical="top" wrapText="1"/>
    </xf>
    <xf numFmtId="3" fontId="14" fillId="0" borderId="11" xfId="0" applyNumberFormat="1" applyFont="1" applyBorder="1" applyAlignment="1">
      <alignment vertical="center" wrapText="1"/>
    </xf>
    <xf numFmtId="3" fontId="14" fillId="0" borderId="11" xfId="0" quotePrefix="1" applyNumberFormat="1" applyFont="1" applyBorder="1" applyAlignment="1">
      <alignment vertical="top" wrapText="1"/>
    </xf>
    <xf numFmtId="3" fontId="20" fillId="9" borderId="11" xfId="0" quotePrefix="1" applyNumberFormat="1" applyFont="1" applyFill="1" applyBorder="1" applyAlignment="1">
      <alignment vertical="top" wrapText="1"/>
    </xf>
    <xf numFmtId="0" fontId="14" fillId="0" borderId="11" xfId="0" quotePrefix="1" applyFont="1" applyBorder="1" applyAlignment="1">
      <alignment horizontal="right" vertical="top" wrapText="1"/>
    </xf>
    <xf numFmtId="3" fontId="20" fillId="0" borderId="12" xfId="0" applyNumberFormat="1" applyFont="1" applyBorder="1" applyAlignment="1">
      <alignment horizontal="right" vertical="center" wrapText="1"/>
    </xf>
    <xf numFmtId="0" fontId="20" fillId="0" borderId="11" xfId="0" quotePrefix="1" applyFont="1" applyBorder="1" applyAlignment="1">
      <alignment horizontal="right" vertical="top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1" fontId="17" fillId="3" borderId="3" xfId="1" applyNumberFormat="1" applyFont="1" applyFill="1" applyBorder="1" applyAlignment="1">
      <alignment horizontal="center" vertical="center" wrapText="1"/>
    </xf>
    <xf numFmtId="1" fontId="17" fillId="3" borderId="6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3" borderId="6" xfId="1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_mach03" xfId="1" xr:uid="{FE81D652-A5FA-4CF4-9D73-02B753BDB00F}"/>
    <cellStyle name="Normal_mach31" xfId="2" xr:uid="{BF40402E-F79F-4C93-AD97-2C10C7A1C7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duse\B%20I%20L%20A%20N%20T\Bilant%202025\4.%2031.12.2025\1%20%2002-%2051,54,55,70,83,84%20%20%20IV%20%202025.xls" TargetMode="External"/><Relationship Id="rId1" Type="http://schemas.openxmlformats.org/officeDocument/2006/relationships/externalLinkPath" Target="/aduse/B%20I%20L%20A%20N%20T/Bilant%202025/4.%2031.12.2025/1%20%2002-%2051,54,55,70,83,84%20%20%20IV%20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use/B%20I%20L%20A%20N%20T/Bilant%202025/1.%2031.03.2025/1%20%2002-%2051,54,55,70,83,84%20%20%20I%20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titluri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2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T"/>
      <sheetName val="70,50,,C.N.-W"/>
      <sheetName val="70.50. 45VECHI"/>
      <sheetName val="70,50 UAT55+.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+Crinu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>
        <row r="10">
          <cell r="C10">
            <v>290842975</v>
          </cell>
          <cell r="D10">
            <v>282470887</v>
          </cell>
          <cell r="E10">
            <v>637276567</v>
          </cell>
          <cell r="F10">
            <v>658773537</v>
          </cell>
          <cell r="G10">
            <v>591350370</v>
          </cell>
          <cell r="H10">
            <v>591350370</v>
          </cell>
          <cell r="I10">
            <v>591350370</v>
          </cell>
          <cell r="J10">
            <v>0</v>
          </cell>
          <cell r="K10">
            <v>419553425</v>
          </cell>
        </row>
        <row r="167">
          <cell r="F167">
            <v>3531727</v>
          </cell>
          <cell r="G167">
            <v>3461760</v>
          </cell>
          <cell r="H167">
            <v>3461760</v>
          </cell>
          <cell r="I167">
            <v>3461760</v>
          </cell>
          <cell r="J167">
            <v>0</v>
          </cell>
          <cell r="K167">
            <v>3566330</v>
          </cell>
        </row>
        <row r="168">
          <cell r="F168">
            <v>684144</v>
          </cell>
          <cell r="G168">
            <v>666514</v>
          </cell>
          <cell r="H168">
            <v>666514</v>
          </cell>
          <cell r="I168">
            <v>666514</v>
          </cell>
          <cell r="J168">
            <v>0</v>
          </cell>
          <cell r="K168">
            <v>662923</v>
          </cell>
        </row>
        <row r="169">
          <cell r="F169">
            <v>20522712</v>
          </cell>
          <cell r="G169">
            <v>19726289</v>
          </cell>
          <cell r="H169">
            <v>19726289</v>
          </cell>
          <cell r="I169">
            <v>19726289</v>
          </cell>
          <cell r="J169">
            <v>0</v>
          </cell>
          <cell r="K169">
            <v>21088616</v>
          </cell>
        </row>
        <row r="170">
          <cell r="F170">
            <v>6348291</v>
          </cell>
          <cell r="G170">
            <v>5740486</v>
          </cell>
          <cell r="H170">
            <v>5740486</v>
          </cell>
          <cell r="I170">
            <v>5740486</v>
          </cell>
          <cell r="J170">
            <v>0</v>
          </cell>
          <cell r="K170">
            <v>6032096</v>
          </cell>
        </row>
        <row r="171">
          <cell r="F171">
            <v>14174421</v>
          </cell>
          <cell r="G171">
            <v>13985803</v>
          </cell>
          <cell r="H171">
            <v>13985803</v>
          </cell>
          <cell r="I171">
            <v>13985803</v>
          </cell>
          <cell r="J171">
            <v>0</v>
          </cell>
          <cell r="K171">
            <v>15056520</v>
          </cell>
        </row>
        <row r="172">
          <cell r="J172">
            <v>0</v>
          </cell>
        </row>
        <row r="173">
          <cell r="F173">
            <v>69902</v>
          </cell>
          <cell r="G173">
            <v>65314</v>
          </cell>
          <cell r="H173">
            <v>65314</v>
          </cell>
          <cell r="I173">
            <v>65314</v>
          </cell>
          <cell r="J173">
            <v>0</v>
          </cell>
          <cell r="K173">
            <v>109979</v>
          </cell>
        </row>
        <row r="174">
          <cell r="F174">
            <v>242000</v>
          </cell>
          <cell r="G174">
            <v>213293</v>
          </cell>
          <cell r="H174">
            <v>213293</v>
          </cell>
          <cell r="I174">
            <v>213293</v>
          </cell>
          <cell r="J174">
            <v>0</v>
          </cell>
          <cell r="K174">
            <v>213293</v>
          </cell>
        </row>
        <row r="175">
          <cell r="F175">
            <v>242000</v>
          </cell>
          <cell r="G175">
            <v>213293</v>
          </cell>
          <cell r="H175">
            <v>213293</v>
          </cell>
          <cell r="I175">
            <v>213293</v>
          </cell>
          <cell r="J175">
            <v>0</v>
          </cell>
          <cell r="K175">
            <v>213293</v>
          </cell>
        </row>
        <row r="176">
          <cell r="F176">
            <v>1156675</v>
          </cell>
          <cell r="G176">
            <v>977709</v>
          </cell>
          <cell r="H176">
            <v>977709</v>
          </cell>
          <cell r="I176">
            <v>977709</v>
          </cell>
          <cell r="J176">
            <v>0</v>
          </cell>
          <cell r="K176">
            <v>977709</v>
          </cell>
        </row>
        <row r="177">
          <cell r="H177">
            <v>0</v>
          </cell>
          <cell r="J177">
            <v>0</v>
          </cell>
        </row>
        <row r="178">
          <cell r="F178">
            <v>1156675</v>
          </cell>
          <cell r="G178">
            <v>977709</v>
          </cell>
          <cell r="H178">
            <v>977709</v>
          </cell>
          <cell r="I178">
            <v>977709</v>
          </cell>
          <cell r="J178">
            <v>0</v>
          </cell>
          <cell r="K178">
            <v>977709</v>
          </cell>
        </row>
        <row r="179">
          <cell r="F179">
            <v>1202316</v>
          </cell>
          <cell r="G179">
            <v>1193765</v>
          </cell>
          <cell r="H179">
            <v>1193765</v>
          </cell>
          <cell r="I179">
            <v>1193765</v>
          </cell>
          <cell r="K179">
            <v>1193765</v>
          </cell>
        </row>
        <row r="180">
          <cell r="F180">
            <v>5059513</v>
          </cell>
          <cell r="G180">
            <v>4886027</v>
          </cell>
          <cell r="H180">
            <v>4886027</v>
          </cell>
          <cell r="I180">
            <v>4886027</v>
          </cell>
          <cell r="K180">
            <v>5397395</v>
          </cell>
        </row>
        <row r="290">
          <cell r="F290">
            <v>363200</v>
          </cell>
          <cell r="G290">
            <v>338450</v>
          </cell>
          <cell r="H290">
            <v>338450</v>
          </cell>
          <cell r="I290">
            <v>338450</v>
          </cell>
          <cell r="K290">
            <v>287035</v>
          </cell>
        </row>
        <row r="291">
          <cell r="J291">
            <v>0</v>
          </cell>
        </row>
        <row r="293">
          <cell r="F293">
            <v>16217862</v>
          </cell>
          <cell r="G293">
            <v>6572792</v>
          </cell>
          <cell r="H293">
            <v>6572792</v>
          </cell>
          <cell r="I293">
            <v>6572792</v>
          </cell>
          <cell r="J293">
            <v>0</v>
          </cell>
          <cell r="K293">
            <v>9306686</v>
          </cell>
        </row>
        <row r="294">
          <cell r="F294">
            <v>8634100</v>
          </cell>
          <cell r="G294">
            <v>1665803</v>
          </cell>
          <cell r="H294">
            <v>1665803</v>
          </cell>
          <cell r="I294">
            <v>1665803</v>
          </cell>
          <cell r="J294">
            <v>0</v>
          </cell>
          <cell r="K294">
            <v>1644845</v>
          </cell>
        </row>
        <row r="295">
          <cell r="J295">
            <v>0</v>
          </cell>
        </row>
        <row r="296">
          <cell r="J296">
            <v>0</v>
          </cell>
        </row>
        <row r="301">
          <cell r="J301">
            <v>0</v>
          </cell>
        </row>
        <row r="302">
          <cell r="F302">
            <v>835000</v>
          </cell>
          <cell r="G302">
            <v>802701</v>
          </cell>
          <cell r="H302">
            <v>802701</v>
          </cell>
          <cell r="I302">
            <v>802701</v>
          </cell>
          <cell r="J302">
            <v>0</v>
          </cell>
          <cell r="K302">
            <v>19013</v>
          </cell>
        </row>
        <row r="303">
          <cell r="F303">
            <v>39167045</v>
          </cell>
          <cell r="G303">
            <v>36042049</v>
          </cell>
          <cell r="H303">
            <v>36042049</v>
          </cell>
          <cell r="I303">
            <v>36042049</v>
          </cell>
          <cell r="J303">
            <v>0</v>
          </cell>
          <cell r="K303">
            <v>528939</v>
          </cell>
        </row>
        <row r="345">
          <cell r="E345">
            <v>44131300</v>
          </cell>
          <cell r="F345">
            <v>43368435</v>
          </cell>
          <cell r="G345">
            <v>22258890</v>
          </cell>
          <cell r="H345">
            <v>22258890</v>
          </cell>
          <cell r="I345">
            <v>22258890</v>
          </cell>
          <cell r="J345">
            <v>0</v>
          </cell>
          <cell r="K345">
            <v>612221</v>
          </cell>
        </row>
      </sheetData>
      <sheetData sheetId="5"/>
      <sheetData sheetId="6"/>
      <sheetData sheetId="7">
        <row r="5">
          <cell r="B5" t="str">
            <v>la data de  31.12.2025</v>
          </cell>
        </row>
        <row r="8">
          <cell r="D8" t="str">
            <v>Credite de angajament initiale</v>
          </cell>
          <cell r="E8" t="str">
            <v>Credite de angajament  finale</v>
          </cell>
          <cell r="F8" t="str">
            <v xml:space="preserve">Credite  bugetare  initiale </v>
          </cell>
          <cell r="G8" t="str">
            <v>Credite bugetare finale</v>
          </cell>
          <cell r="H8" t="str">
            <v>Angajamente 
bugetare</v>
          </cell>
          <cell r="I8" t="str">
            <v>Angajamente 
legale</v>
          </cell>
          <cell r="J8" t="str">
            <v>Plati 
efectuate</v>
          </cell>
          <cell r="K8" t="str">
            <v>Angajamente 
legale de platit</v>
          </cell>
          <cell r="L8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93">
          <cell r="J293">
            <v>0</v>
          </cell>
          <cell r="K293">
            <v>80500</v>
          </cell>
          <cell r="L293">
            <v>0</v>
          </cell>
          <cell r="M293">
            <v>80500</v>
          </cell>
          <cell r="N293">
            <v>80310</v>
          </cell>
          <cell r="O293">
            <v>80310</v>
          </cell>
          <cell r="P293">
            <v>80310</v>
          </cell>
          <cell r="Q293">
            <v>0</v>
          </cell>
          <cell r="R293">
            <v>12101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1">
          <cell r="D11">
            <v>0</v>
          </cell>
        </row>
      </sheetData>
      <sheetData sheetId="33"/>
      <sheetData sheetId="34"/>
      <sheetData sheetId="35"/>
      <sheetData sheetId="36"/>
      <sheetData sheetId="37">
        <row r="189">
          <cell r="D189">
            <v>470000</v>
          </cell>
          <cell r="E189">
            <v>2000</v>
          </cell>
          <cell r="F189">
            <v>470000</v>
          </cell>
          <cell r="G189">
            <v>2000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3086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ri"/>
      <sheetName val="agregat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2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"/>
      <sheetName val="70,50,,C.N.-W"/>
      <sheetName val="70.50. 45VECHI"/>
      <sheetName val="70,50 UAT55+.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+Crinu"/>
      <sheetName val="84,03,01"/>
      <sheetName val="84,03,02"/>
      <sheetName val="84,03,03"/>
      <sheetName val="84,50"/>
      <sheetName val="84"/>
    </sheetNames>
    <sheetDataSet>
      <sheetData sheetId="0" refreshError="1"/>
      <sheetData sheetId="1" refreshError="1"/>
      <sheetData sheetId="2" refreshError="1"/>
      <sheetData sheetId="3">
        <row r="167">
          <cell r="E167">
            <v>3231019</v>
          </cell>
        </row>
        <row r="168">
          <cell r="E168">
            <v>674980</v>
          </cell>
        </row>
        <row r="169">
          <cell r="E169">
            <v>22522867</v>
          </cell>
        </row>
        <row r="170">
          <cell r="E170">
            <v>5892297</v>
          </cell>
        </row>
        <row r="171">
          <cell r="E171">
            <v>16630570</v>
          </cell>
        </row>
        <row r="173">
          <cell r="E173">
            <v>93000</v>
          </cell>
        </row>
        <row r="174">
          <cell r="E174">
            <v>38000</v>
          </cell>
        </row>
        <row r="175">
          <cell r="E175">
            <v>38000</v>
          </cell>
        </row>
        <row r="176">
          <cell r="E176">
            <v>979134</v>
          </cell>
        </row>
        <row r="178">
          <cell r="E178">
            <v>979134</v>
          </cell>
        </row>
        <row r="179">
          <cell r="E179">
            <v>1138000</v>
          </cell>
        </row>
        <row r="180">
          <cell r="E180">
            <v>3078941</v>
          </cell>
        </row>
        <row r="290">
          <cell r="E290">
            <v>2862500</v>
          </cell>
        </row>
        <row r="293">
          <cell r="E293">
            <v>12114440</v>
          </cell>
        </row>
        <row r="294">
          <cell r="E294">
            <v>8830611</v>
          </cell>
        </row>
        <row r="303">
          <cell r="E303">
            <v>55627360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60714-A73F-462C-BCF8-37B35C334475}">
  <sheetPr>
    <tabColor rgb="FF7030A0"/>
    <pageSetUpPr fitToPage="1"/>
  </sheetPr>
  <dimension ref="A1:M398"/>
  <sheetViews>
    <sheetView tabSelected="1" view="pageBreakPreview" topLeftCell="A249" zoomScale="124" zoomScaleNormal="98" zoomScaleSheetLayoutView="124" workbookViewId="0">
      <selection activeCell="I37" sqref="I37"/>
    </sheetView>
  </sheetViews>
  <sheetFormatPr defaultRowHeight="12.75"/>
  <cols>
    <col min="1" max="1" width="40.28515625" style="14" customWidth="1"/>
    <col min="2" max="2" width="10.5703125" customWidth="1"/>
    <col min="3" max="3" width="13.140625" customWidth="1"/>
    <col min="4" max="4" width="14.28515625" customWidth="1"/>
    <col min="5" max="5" width="16" customWidth="1"/>
    <col min="6" max="6" width="15.5703125" customWidth="1"/>
    <col min="7" max="9" width="14.28515625" customWidth="1"/>
    <col min="10" max="10" width="8.42578125" customWidth="1"/>
    <col min="11" max="11" width="14.28515625" customWidth="1"/>
    <col min="244" max="244" width="30.85546875" customWidth="1"/>
    <col min="245" max="245" width="12.85546875" customWidth="1"/>
    <col min="246" max="246" width="13.140625" customWidth="1"/>
    <col min="247" max="247" width="14.28515625" customWidth="1"/>
    <col min="248" max="248" width="16" customWidth="1"/>
    <col min="249" max="249" width="15.5703125" customWidth="1"/>
    <col min="250" max="252" width="14.28515625" customWidth="1"/>
    <col min="253" max="253" width="13.85546875" customWidth="1"/>
    <col min="254" max="254" width="14.28515625" customWidth="1"/>
    <col min="255" max="255" width="12" customWidth="1"/>
    <col min="256" max="256" width="13" customWidth="1"/>
    <col min="258" max="258" width="11.28515625" customWidth="1"/>
    <col min="259" max="259" width="12" customWidth="1"/>
    <col min="260" max="260" width="10.5703125" customWidth="1"/>
    <col min="261" max="261" width="11.85546875" customWidth="1"/>
    <col min="262" max="262" width="12.28515625" customWidth="1"/>
    <col min="263" max="263" width="11.28515625" customWidth="1"/>
    <col min="264" max="264" width="11.140625" customWidth="1"/>
    <col min="265" max="265" width="11.85546875" customWidth="1"/>
    <col min="266" max="266" width="10.28515625" bestFit="1" customWidth="1"/>
    <col min="267" max="267" width="11.42578125" customWidth="1"/>
    <col min="500" max="500" width="30.85546875" customWidth="1"/>
    <col min="501" max="501" width="12.85546875" customWidth="1"/>
    <col min="502" max="502" width="13.140625" customWidth="1"/>
    <col min="503" max="503" width="14.28515625" customWidth="1"/>
    <col min="504" max="504" width="16" customWidth="1"/>
    <col min="505" max="505" width="15.5703125" customWidth="1"/>
    <col min="506" max="508" width="14.28515625" customWidth="1"/>
    <col min="509" max="509" width="13.85546875" customWidth="1"/>
    <col min="510" max="510" width="14.28515625" customWidth="1"/>
    <col min="511" max="511" width="12" customWidth="1"/>
    <col min="512" max="512" width="13" customWidth="1"/>
    <col min="514" max="514" width="11.28515625" customWidth="1"/>
    <col min="515" max="515" width="12" customWidth="1"/>
    <col min="516" max="516" width="10.5703125" customWidth="1"/>
    <col min="517" max="517" width="11.85546875" customWidth="1"/>
    <col min="518" max="518" width="12.28515625" customWidth="1"/>
    <col min="519" max="519" width="11.28515625" customWidth="1"/>
    <col min="520" max="520" width="11.140625" customWidth="1"/>
    <col min="521" max="521" width="11.85546875" customWidth="1"/>
    <col min="522" max="522" width="10.28515625" bestFit="1" customWidth="1"/>
    <col min="523" max="523" width="11.42578125" customWidth="1"/>
    <col min="756" max="756" width="30.85546875" customWidth="1"/>
    <col min="757" max="757" width="12.85546875" customWidth="1"/>
    <col min="758" max="758" width="13.140625" customWidth="1"/>
    <col min="759" max="759" width="14.28515625" customWidth="1"/>
    <col min="760" max="760" width="16" customWidth="1"/>
    <col min="761" max="761" width="15.5703125" customWidth="1"/>
    <col min="762" max="764" width="14.28515625" customWidth="1"/>
    <col min="765" max="765" width="13.85546875" customWidth="1"/>
    <col min="766" max="766" width="14.28515625" customWidth="1"/>
    <col min="767" max="767" width="12" customWidth="1"/>
    <col min="768" max="768" width="13" customWidth="1"/>
    <col min="770" max="770" width="11.28515625" customWidth="1"/>
    <col min="771" max="771" width="12" customWidth="1"/>
    <col min="772" max="772" width="10.5703125" customWidth="1"/>
    <col min="773" max="773" width="11.85546875" customWidth="1"/>
    <col min="774" max="774" width="12.28515625" customWidth="1"/>
    <col min="775" max="775" width="11.28515625" customWidth="1"/>
    <col min="776" max="776" width="11.140625" customWidth="1"/>
    <col min="777" max="777" width="11.85546875" customWidth="1"/>
    <col min="778" max="778" width="10.28515625" bestFit="1" customWidth="1"/>
    <col min="779" max="779" width="11.42578125" customWidth="1"/>
    <col min="1012" max="1012" width="30.85546875" customWidth="1"/>
    <col min="1013" max="1013" width="12.85546875" customWidth="1"/>
    <col min="1014" max="1014" width="13.140625" customWidth="1"/>
    <col min="1015" max="1015" width="14.28515625" customWidth="1"/>
    <col min="1016" max="1016" width="16" customWidth="1"/>
    <col min="1017" max="1017" width="15.5703125" customWidth="1"/>
    <col min="1018" max="1020" width="14.28515625" customWidth="1"/>
    <col min="1021" max="1021" width="13.85546875" customWidth="1"/>
    <col min="1022" max="1022" width="14.28515625" customWidth="1"/>
    <col min="1023" max="1023" width="12" customWidth="1"/>
    <col min="1024" max="1024" width="13" customWidth="1"/>
    <col min="1026" max="1026" width="11.28515625" customWidth="1"/>
    <col min="1027" max="1027" width="12" customWidth="1"/>
    <col min="1028" max="1028" width="10.5703125" customWidth="1"/>
    <col min="1029" max="1029" width="11.85546875" customWidth="1"/>
    <col min="1030" max="1030" width="12.28515625" customWidth="1"/>
    <col min="1031" max="1031" width="11.28515625" customWidth="1"/>
    <col min="1032" max="1032" width="11.140625" customWidth="1"/>
    <col min="1033" max="1033" width="11.85546875" customWidth="1"/>
    <col min="1034" max="1034" width="10.28515625" bestFit="1" customWidth="1"/>
    <col min="1035" max="1035" width="11.42578125" customWidth="1"/>
    <col min="1268" max="1268" width="30.85546875" customWidth="1"/>
    <col min="1269" max="1269" width="12.85546875" customWidth="1"/>
    <col min="1270" max="1270" width="13.140625" customWidth="1"/>
    <col min="1271" max="1271" width="14.28515625" customWidth="1"/>
    <col min="1272" max="1272" width="16" customWidth="1"/>
    <col min="1273" max="1273" width="15.5703125" customWidth="1"/>
    <col min="1274" max="1276" width="14.28515625" customWidth="1"/>
    <col min="1277" max="1277" width="13.85546875" customWidth="1"/>
    <col min="1278" max="1278" width="14.28515625" customWidth="1"/>
    <col min="1279" max="1279" width="12" customWidth="1"/>
    <col min="1280" max="1280" width="13" customWidth="1"/>
    <col min="1282" max="1282" width="11.28515625" customWidth="1"/>
    <col min="1283" max="1283" width="12" customWidth="1"/>
    <col min="1284" max="1284" width="10.5703125" customWidth="1"/>
    <col min="1285" max="1285" width="11.85546875" customWidth="1"/>
    <col min="1286" max="1286" width="12.28515625" customWidth="1"/>
    <col min="1287" max="1287" width="11.28515625" customWidth="1"/>
    <col min="1288" max="1288" width="11.140625" customWidth="1"/>
    <col min="1289" max="1289" width="11.85546875" customWidth="1"/>
    <col min="1290" max="1290" width="10.28515625" bestFit="1" customWidth="1"/>
    <col min="1291" max="1291" width="11.42578125" customWidth="1"/>
    <col min="1524" max="1524" width="30.85546875" customWidth="1"/>
    <col min="1525" max="1525" width="12.85546875" customWidth="1"/>
    <col min="1526" max="1526" width="13.140625" customWidth="1"/>
    <col min="1527" max="1527" width="14.28515625" customWidth="1"/>
    <col min="1528" max="1528" width="16" customWidth="1"/>
    <col min="1529" max="1529" width="15.5703125" customWidth="1"/>
    <col min="1530" max="1532" width="14.28515625" customWidth="1"/>
    <col min="1533" max="1533" width="13.85546875" customWidth="1"/>
    <col min="1534" max="1534" width="14.28515625" customWidth="1"/>
    <col min="1535" max="1535" width="12" customWidth="1"/>
    <col min="1536" max="1536" width="13" customWidth="1"/>
    <col min="1538" max="1538" width="11.28515625" customWidth="1"/>
    <col min="1539" max="1539" width="12" customWidth="1"/>
    <col min="1540" max="1540" width="10.5703125" customWidth="1"/>
    <col min="1541" max="1541" width="11.85546875" customWidth="1"/>
    <col min="1542" max="1542" width="12.28515625" customWidth="1"/>
    <col min="1543" max="1543" width="11.28515625" customWidth="1"/>
    <col min="1544" max="1544" width="11.140625" customWidth="1"/>
    <col min="1545" max="1545" width="11.85546875" customWidth="1"/>
    <col min="1546" max="1546" width="10.28515625" bestFit="1" customWidth="1"/>
    <col min="1547" max="1547" width="11.42578125" customWidth="1"/>
    <col min="1780" max="1780" width="30.85546875" customWidth="1"/>
    <col min="1781" max="1781" width="12.85546875" customWidth="1"/>
    <col min="1782" max="1782" width="13.140625" customWidth="1"/>
    <col min="1783" max="1783" width="14.28515625" customWidth="1"/>
    <col min="1784" max="1784" width="16" customWidth="1"/>
    <col min="1785" max="1785" width="15.5703125" customWidth="1"/>
    <col min="1786" max="1788" width="14.28515625" customWidth="1"/>
    <col min="1789" max="1789" width="13.85546875" customWidth="1"/>
    <col min="1790" max="1790" width="14.28515625" customWidth="1"/>
    <col min="1791" max="1791" width="12" customWidth="1"/>
    <col min="1792" max="1792" width="13" customWidth="1"/>
    <col min="1794" max="1794" width="11.28515625" customWidth="1"/>
    <col min="1795" max="1795" width="12" customWidth="1"/>
    <col min="1796" max="1796" width="10.5703125" customWidth="1"/>
    <col min="1797" max="1797" width="11.85546875" customWidth="1"/>
    <col min="1798" max="1798" width="12.28515625" customWidth="1"/>
    <col min="1799" max="1799" width="11.28515625" customWidth="1"/>
    <col min="1800" max="1800" width="11.140625" customWidth="1"/>
    <col min="1801" max="1801" width="11.85546875" customWidth="1"/>
    <col min="1802" max="1802" width="10.28515625" bestFit="1" customWidth="1"/>
    <col min="1803" max="1803" width="11.42578125" customWidth="1"/>
    <col min="2036" max="2036" width="30.85546875" customWidth="1"/>
    <col min="2037" max="2037" width="12.85546875" customWidth="1"/>
    <col min="2038" max="2038" width="13.140625" customWidth="1"/>
    <col min="2039" max="2039" width="14.28515625" customWidth="1"/>
    <col min="2040" max="2040" width="16" customWidth="1"/>
    <col min="2041" max="2041" width="15.5703125" customWidth="1"/>
    <col min="2042" max="2044" width="14.28515625" customWidth="1"/>
    <col min="2045" max="2045" width="13.85546875" customWidth="1"/>
    <col min="2046" max="2046" width="14.28515625" customWidth="1"/>
    <col min="2047" max="2047" width="12" customWidth="1"/>
    <col min="2048" max="2048" width="13" customWidth="1"/>
    <col min="2050" max="2050" width="11.28515625" customWidth="1"/>
    <col min="2051" max="2051" width="12" customWidth="1"/>
    <col min="2052" max="2052" width="10.5703125" customWidth="1"/>
    <col min="2053" max="2053" width="11.85546875" customWidth="1"/>
    <col min="2054" max="2054" width="12.28515625" customWidth="1"/>
    <col min="2055" max="2055" width="11.28515625" customWidth="1"/>
    <col min="2056" max="2056" width="11.140625" customWidth="1"/>
    <col min="2057" max="2057" width="11.85546875" customWidth="1"/>
    <col min="2058" max="2058" width="10.28515625" bestFit="1" customWidth="1"/>
    <col min="2059" max="2059" width="11.42578125" customWidth="1"/>
    <col min="2292" max="2292" width="30.85546875" customWidth="1"/>
    <col min="2293" max="2293" width="12.85546875" customWidth="1"/>
    <col min="2294" max="2294" width="13.140625" customWidth="1"/>
    <col min="2295" max="2295" width="14.28515625" customWidth="1"/>
    <col min="2296" max="2296" width="16" customWidth="1"/>
    <col min="2297" max="2297" width="15.5703125" customWidth="1"/>
    <col min="2298" max="2300" width="14.28515625" customWidth="1"/>
    <col min="2301" max="2301" width="13.85546875" customWidth="1"/>
    <col min="2302" max="2302" width="14.28515625" customWidth="1"/>
    <col min="2303" max="2303" width="12" customWidth="1"/>
    <col min="2304" max="2304" width="13" customWidth="1"/>
    <col min="2306" max="2306" width="11.28515625" customWidth="1"/>
    <col min="2307" max="2307" width="12" customWidth="1"/>
    <col min="2308" max="2308" width="10.5703125" customWidth="1"/>
    <col min="2309" max="2309" width="11.85546875" customWidth="1"/>
    <col min="2310" max="2310" width="12.28515625" customWidth="1"/>
    <col min="2311" max="2311" width="11.28515625" customWidth="1"/>
    <col min="2312" max="2312" width="11.140625" customWidth="1"/>
    <col min="2313" max="2313" width="11.85546875" customWidth="1"/>
    <col min="2314" max="2314" width="10.28515625" bestFit="1" customWidth="1"/>
    <col min="2315" max="2315" width="11.42578125" customWidth="1"/>
    <col min="2548" max="2548" width="30.85546875" customWidth="1"/>
    <col min="2549" max="2549" width="12.85546875" customWidth="1"/>
    <col min="2550" max="2550" width="13.140625" customWidth="1"/>
    <col min="2551" max="2551" width="14.28515625" customWidth="1"/>
    <col min="2552" max="2552" width="16" customWidth="1"/>
    <col min="2553" max="2553" width="15.5703125" customWidth="1"/>
    <col min="2554" max="2556" width="14.28515625" customWidth="1"/>
    <col min="2557" max="2557" width="13.85546875" customWidth="1"/>
    <col min="2558" max="2558" width="14.28515625" customWidth="1"/>
    <col min="2559" max="2559" width="12" customWidth="1"/>
    <col min="2560" max="2560" width="13" customWidth="1"/>
    <col min="2562" max="2562" width="11.28515625" customWidth="1"/>
    <col min="2563" max="2563" width="12" customWidth="1"/>
    <col min="2564" max="2564" width="10.5703125" customWidth="1"/>
    <col min="2565" max="2565" width="11.85546875" customWidth="1"/>
    <col min="2566" max="2566" width="12.28515625" customWidth="1"/>
    <col min="2567" max="2567" width="11.28515625" customWidth="1"/>
    <col min="2568" max="2568" width="11.140625" customWidth="1"/>
    <col min="2569" max="2569" width="11.85546875" customWidth="1"/>
    <col min="2570" max="2570" width="10.28515625" bestFit="1" customWidth="1"/>
    <col min="2571" max="2571" width="11.42578125" customWidth="1"/>
    <col min="2804" max="2804" width="30.85546875" customWidth="1"/>
    <col min="2805" max="2805" width="12.85546875" customWidth="1"/>
    <col min="2806" max="2806" width="13.140625" customWidth="1"/>
    <col min="2807" max="2807" width="14.28515625" customWidth="1"/>
    <col min="2808" max="2808" width="16" customWidth="1"/>
    <col min="2809" max="2809" width="15.5703125" customWidth="1"/>
    <col min="2810" max="2812" width="14.28515625" customWidth="1"/>
    <col min="2813" max="2813" width="13.85546875" customWidth="1"/>
    <col min="2814" max="2814" width="14.28515625" customWidth="1"/>
    <col min="2815" max="2815" width="12" customWidth="1"/>
    <col min="2816" max="2816" width="13" customWidth="1"/>
    <col min="2818" max="2818" width="11.28515625" customWidth="1"/>
    <col min="2819" max="2819" width="12" customWidth="1"/>
    <col min="2820" max="2820" width="10.5703125" customWidth="1"/>
    <col min="2821" max="2821" width="11.85546875" customWidth="1"/>
    <col min="2822" max="2822" width="12.28515625" customWidth="1"/>
    <col min="2823" max="2823" width="11.28515625" customWidth="1"/>
    <col min="2824" max="2824" width="11.140625" customWidth="1"/>
    <col min="2825" max="2825" width="11.85546875" customWidth="1"/>
    <col min="2826" max="2826" width="10.28515625" bestFit="1" customWidth="1"/>
    <col min="2827" max="2827" width="11.42578125" customWidth="1"/>
    <col min="3060" max="3060" width="30.85546875" customWidth="1"/>
    <col min="3061" max="3061" width="12.85546875" customWidth="1"/>
    <col min="3062" max="3062" width="13.140625" customWidth="1"/>
    <col min="3063" max="3063" width="14.28515625" customWidth="1"/>
    <col min="3064" max="3064" width="16" customWidth="1"/>
    <col min="3065" max="3065" width="15.5703125" customWidth="1"/>
    <col min="3066" max="3068" width="14.28515625" customWidth="1"/>
    <col min="3069" max="3069" width="13.85546875" customWidth="1"/>
    <col min="3070" max="3070" width="14.28515625" customWidth="1"/>
    <col min="3071" max="3071" width="12" customWidth="1"/>
    <col min="3072" max="3072" width="13" customWidth="1"/>
    <col min="3074" max="3074" width="11.28515625" customWidth="1"/>
    <col min="3075" max="3075" width="12" customWidth="1"/>
    <col min="3076" max="3076" width="10.5703125" customWidth="1"/>
    <col min="3077" max="3077" width="11.85546875" customWidth="1"/>
    <col min="3078" max="3078" width="12.28515625" customWidth="1"/>
    <col min="3079" max="3079" width="11.28515625" customWidth="1"/>
    <col min="3080" max="3080" width="11.140625" customWidth="1"/>
    <col min="3081" max="3081" width="11.85546875" customWidth="1"/>
    <col min="3082" max="3082" width="10.28515625" bestFit="1" customWidth="1"/>
    <col min="3083" max="3083" width="11.42578125" customWidth="1"/>
    <col min="3316" max="3316" width="30.85546875" customWidth="1"/>
    <col min="3317" max="3317" width="12.85546875" customWidth="1"/>
    <col min="3318" max="3318" width="13.140625" customWidth="1"/>
    <col min="3319" max="3319" width="14.28515625" customWidth="1"/>
    <col min="3320" max="3320" width="16" customWidth="1"/>
    <col min="3321" max="3321" width="15.5703125" customWidth="1"/>
    <col min="3322" max="3324" width="14.28515625" customWidth="1"/>
    <col min="3325" max="3325" width="13.85546875" customWidth="1"/>
    <col min="3326" max="3326" width="14.28515625" customWidth="1"/>
    <col min="3327" max="3327" width="12" customWidth="1"/>
    <col min="3328" max="3328" width="13" customWidth="1"/>
    <col min="3330" max="3330" width="11.28515625" customWidth="1"/>
    <col min="3331" max="3331" width="12" customWidth="1"/>
    <col min="3332" max="3332" width="10.5703125" customWidth="1"/>
    <col min="3333" max="3333" width="11.85546875" customWidth="1"/>
    <col min="3334" max="3334" width="12.28515625" customWidth="1"/>
    <col min="3335" max="3335" width="11.28515625" customWidth="1"/>
    <col min="3336" max="3336" width="11.140625" customWidth="1"/>
    <col min="3337" max="3337" width="11.85546875" customWidth="1"/>
    <col min="3338" max="3338" width="10.28515625" bestFit="1" customWidth="1"/>
    <col min="3339" max="3339" width="11.42578125" customWidth="1"/>
    <col min="3572" max="3572" width="30.85546875" customWidth="1"/>
    <col min="3573" max="3573" width="12.85546875" customWidth="1"/>
    <col min="3574" max="3574" width="13.140625" customWidth="1"/>
    <col min="3575" max="3575" width="14.28515625" customWidth="1"/>
    <col min="3576" max="3576" width="16" customWidth="1"/>
    <col min="3577" max="3577" width="15.5703125" customWidth="1"/>
    <col min="3578" max="3580" width="14.28515625" customWidth="1"/>
    <col min="3581" max="3581" width="13.85546875" customWidth="1"/>
    <col min="3582" max="3582" width="14.28515625" customWidth="1"/>
    <col min="3583" max="3583" width="12" customWidth="1"/>
    <col min="3584" max="3584" width="13" customWidth="1"/>
    <col min="3586" max="3586" width="11.28515625" customWidth="1"/>
    <col min="3587" max="3587" width="12" customWidth="1"/>
    <col min="3588" max="3588" width="10.5703125" customWidth="1"/>
    <col min="3589" max="3589" width="11.85546875" customWidth="1"/>
    <col min="3590" max="3590" width="12.28515625" customWidth="1"/>
    <col min="3591" max="3591" width="11.28515625" customWidth="1"/>
    <col min="3592" max="3592" width="11.140625" customWidth="1"/>
    <col min="3593" max="3593" width="11.85546875" customWidth="1"/>
    <col min="3594" max="3594" width="10.28515625" bestFit="1" customWidth="1"/>
    <col min="3595" max="3595" width="11.42578125" customWidth="1"/>
    <col min="3828" max="3828" width="30.85546875" customWidth="1"/>
    <col min="3829" max="3829" width="12.85546875" customWidth="1"/>
    <col min="3830" max="3830" width="13.140625" customWidth="1"/>
    <col min="3831" max="3831" width="14.28515625" customWidth="1"/>
    <col min="3832" max="3832" width="16" customWidth="1"/>
    <col min="3833" max="3833" width="15.5703125" customWidth="1"/>
    <col min="3834" max="3836" width="14.28515625" customWidth="1"/>
    <col min="3837" max="3837" width="13.85546875" customWidth="1"/>
    <col min="3838" max="3838" width="14.28515625" customWidth="1"/>
    <col min="3839" max="3839" width="12" customWidth="1"/>
    <col min="3840" max="3840" width="13" customWidth="1"/>
    <col min="3842" max="3842" width="11.28515625" customWidth="1"/>
    <col min="3843" max="3843" width="12" customWidth="1"/>
    <col min="3844" max="3844" width="10.5703125" customWidth="1"/>
    <col min="3845" max="3845" width="11.85546875" customWidth="1"/>
    <col min="3846" max="3846" width="12.28515625" customWidth="1"/>
    <col min="3847" max="3847" width="11.28515625" customWidth="1"/>
    <col min="3848" max="3848" width="11.140625" customWidth="1"/>
    <col min="3849" max="3849" width="11.85546875" customWidth="1"/>
    <col min="3850" max="3850" width="10.28515625" bestFit="1" customWidth="1"/>
    <col min="3851" max="3851" width="11.42578125" customWidth="1"/>
    <col min="4084" max="4084" width="30.85546875" customWidth="1"/>
    <col min="4085" max="4085" width="12.85546875" customWidth="1"/>
    <col min="4086" max="4086" width="13.140625" customWidth="1"/>
    <col min="4087" max="4087" width="14.28515625" customWidth="1"/>
    <col min="4088" max="4088" width="16" customWidth="1"/>
    <col min="4089" max="4089" width="15.5703125" customWidth="1"/>
    <col min="4090" max="4092" width="14.28515625" customWidth="1"/>
    <col min="4093" max="4093" width="13.85546875" customWidth="1"/>
    <col min="4094" max="4094" width="14.28515625" customWidth="1"/>
    <col min="4095" max="4095" width="12" customWidth="1"/>
    <col min="4096" max="4096" width="13" customWidth="1"/>
    <col min="4098" max="4098" width="11.28515625" customWidth="1"/>
    <col min="4099" max="4099" width="12" customWidth="1"/>
    <col min="4100" max="4100" width="10.5703125" customWidth="1"/>
    <col min="4101" max="4101" width="11.85546875" customWidth="1"/>
    <col min="4102" max="4102" width="12.28515625" customWidth="1"/>
    <col min="4103" max="4103" width="11.28515625" customWidth="1"/>
    <col min="4104" max="4104" width="11.140625" customWidth="1"/>
    <col min="4105" max="4105" width="11.85546875" customWidth="1"/>
    <col min="4106" max="4106" width="10.28515625" bestFit="1" customWidth="1"/>
    <col min="4107" max="4107" width="11.42578125" customWidth="1"/>
    <col min="4340" max="4340" width="30.85546875" customWidth="1"/>
    <col min="4341" max="4341" width="12.85546875" customWidth="1"/>
    <col min="4342" max="4342" width="13.140625" customWidth="1"/>
    <col min="4343" max="4343" width="14.28515625" customWidth="1"/>
    <col min="4344" max="4344" width="16" customWidth="1"/>
    <col min="4345" max="4345" width="15.5703125" customWidth="1"/>
    <col min="4346" max="4348" width="14.28515625" customWidth="1"/>
    <col min="4349" max="4349" width="13.85546875" customWidth="1"/>
    <col min="4350" max="4350" width="14.28515625" customWidth="1"/>
    <col min="4351" max="4351" width="12" customWidth="1"/>
    <col min="4352" max="4352" width="13" customWidth="1"/>
    <col min="4354" max="4354" width="11.28515625" customWidth="1"/>
    <col min="4355" max="4355" width="12" customWidth="1"/>
    <col min="4356" max="4356" width="10.5703125" customWidth="1"/>
    <col min="4357" max="4357" width="11.85546875" customWidth="1"/>
    <col min="4358" max="4358" width="12.28515625" customWidth="1"/>
    <col min="4359" max="4359" width="11.28515625" customWidth="1"/>
    <col min="4360" max="4360" width="11.140625" customWidth="1"/>
    <col min="4361" max="4361" width="11.85546875" customWidth="1"/>
    <col min="4362" max="4362" width="10.28515625" bestFit="1" customWidth="1"/>
    <col min="4363" max="4363" width="11.42578125" customWidth="1"/>
    <col min="4596" max="4596" width="30.85546875" customWidth="1"/>
    <col min="4597" max="4597" width="12.85546875" customWidth="1"/>
    <col min="4598" max="4598" width="13.140625" customWidth="1"/>
    <col min="4599" max="4599" width="14.28515625" customWidth="1"/>
    <col min="4600" max="4600" width="16" customWidth="1"/>
    <col min="4601" max="4601" width="15.5703125" customWidth="1"/>
    <col min="4602" max="4604" width="14.28515625" customWidth="1"/>
    <col min="4605" max="4605" width="13.85546875" customWidth="1"/>
    <col min="4606" max="4606" width="14.28515625" customWidth="1"/>
    <col min="4607" max="4607" width="12" customWidth="1"/>
    <col min="4608" max="4608" width="13" customWidth="1"/>
    <col min="4610" max="4610" width="11.28515625" customWidth="1"/>
    <col min="4611" max="4611" width="12" customWidth="1"/>
    <col min="4612" max="4612" width="10.5703125" customWidth="1"/>
    <col min="4613" max="4613" width="11.85546875" customWidth="1"/>
    <col min="4614" max="4614" width="12.28515625" customWidth="1"/>
    <col min="4615" max="4615" width="11.28515625" customWidth="1"/>
    <col min="4616" max="4616" width="11.140625" customWidth="1"/>
    <col min="4617" max="4617" width="11.85546875" customWidth="1"/>
    <col min="4618" max="4618" width="10.28515625" bestFit="1" customWidth="1"/>
    <col min="4619" max="4619" width="11.42578125" customWidth="1"/>
    <col min="4852" max="4852" width="30.85546875" customWidth="1"/>
    <col min="4853" max="4853" width="12.85546875" customWidth="1"/>
    <col min="4854" max="4854" width="13.140625" customWidth="1"/>
    <col min="4855" max="4855" width="14.28515625" customWidth="1"/>
    <col min="4856" max="4856" width="16" customWidth="1"/>
    <col min="4857" max="4857" width="15.5703125" customWidth="1"/>
    <col min="4858" max="4860" width="14.28515625" customWidth="1"/>
    <col min="4861" max="4861" width="13.85546875" customWidth="1"/>
    <col min="4862" max="4862" width="14.28515625" customWidth="1"/>
    <col min="4863" max="4863" width="12" customWidth="1"/>
    <col min="4864" max="4864" width="13" customWidth="1"/>
    <col min="4866" max="4866" width="11.28515625" customWidth="1"/>
    <col min="4867" max="4867" width="12" customWidth="1"/>
    <col min="4868" max="4868" width="10.5703125" customWidth="1"/>
    <col min="4869" max="4869" width="11.85546875" customWidth="1"/>
    <col min="4870" max="4870" width="12.28515625" customWidth="1"/>
    <col min="4871" max="4871" width="11.28515625" customWidth="1"/>
    <col min="4872" max="4872" width="11.140625" customWidth="1"/>
    <col min="4873" max="4873" width="11.85546875" customWidth="1"/>
    <col min="4874" max="4874" width="10.28515625" bestFit="1" customWidth="1"/>
    <col min="4875" max="4875" width="11.42578125" customWidth="1"/>
    <col min="5108" max="5108" width="30.85546875" customWidth="1"/>
    <col min="5109" max="5109" width="12.85546875" customWidth="1"/>
    <col min="5110" max="5110" width="13.140625" customWidth="1"/>
    <col min="5111" max="5111" width="14.28515625" customWidth="1"/>
    <col min="5112" max="5112" width="16" customWidth="1"/>
    <col min="5113" max="5113" width="15.5703125" customWidth="1"/>
    <col min="5114" max="5116" width="14.28515625" customWidth="1"/>
    <col min="5117" max="5117" width="13.85546875" customWidth="1"/>
    <col min="5118" max="5118" width="14.28515625" customWidth="1"/>
    <col min="5119" max="5119" width="12" customWidth="1"/>
    <col min="5120" max="5120" width="13" customWidth="1"/>
    <col min="5122" max="5122" width="11.28515625" customWidth="1"/>
    <col min="5123" max="5123" width="12" customWidth="1"/>
    <col min="5124" max="5124" width="10.5703125" customWidth="1"/>
    <col min="5125" max="5125" width="11.85546875" customWidth="1"/>
    <col min="5126" max="5126" width="12.28515625" customWidth="1"/>
    <col min="5127" max="5127" width="11.28515625" customWidth="1"/>
    <col min="5128" max="5128" width="11.140625" customWidth="1"/>
    <col min="5129" max="5129" width="11.85546875" customWidth="1"/>
    <col min="5130" max="5130" width="10.28515625" bestFit="1" customWidth="1"/>
    <col min="5131" max="5131" width="11.42578125" customWidth="1"/>
    <col min="5364" max="5364" width="30.85546875" customWidth="1"/>
    <col min="5365" max="5365" width="12.85546875" customWidth="1"/>
    <col min="5366" max="5366" width="13.140625" customWidth="1"/>
    <col min="5367" max="5367" width="14.28515625" customWidth="1"/>
    <col min="5368" max="5368" width="16" customWidth="1"/>
    <col min="5369" max="5369" width="15.5703125" customWidth="1"/>
    <col min="5370" max="5372" width="14.28515625" customWidth="1"/>
    <col min="5373" max="5373" width="13.85546875" customWidth="1"/>
    <col min="5374" max="5374" width="14.28515625" customWidth="1"/>
    <col min="5375" max="5375" width="12" customWidth="1"/>
    <col min="5376" max="5376" width="13" customWidth="1"/>
    <col min="5378" max="5378" width="11.28515625" customWidth="1"/>
    <col min="5379" max="5379" width="12" customWidth="1"/>
    <col min="5380" max="5380" width="10.5703125" customWidth="1"/>
    <col min="5381" max="5381" width="11.85546875" customWidth="1"/>
    <col min="5382" max="5382" width="12.28515625" customWidth="1"/>
    <col min="5383" max="5383" width="11.28515625" customWidth="1"/>
    <col min="5384" max="5384" width="11.140625" customWidth="1"/>
    <col min="5385" max="5385" width="11.85546875" customWidth="1"/>
    <col min="5386" max="5386" width="10.28515625" bestFit="1" customWidth="1"/>
    <col min="5387" max="5387" width="11.42578125" customWidth="1"/>
    <col min="5620" max="5620" width="30.85546875" customWidth="1"/>
    <col min="5621" max="5621" width="12.85546875" customWidth="1"/>
    <col min="5622" max="5622" width="13.140625" customWidth="1"/>
    <col min="5623" max="5623" width="14.28515625" customWidth="1"/>
    <col min="5624" max="5624" width="16" customWidth="1"/>
    <col min="5625" max="5625" width="15.5703125" customWidth="1"/>
    <col min="5626" max="5628" width="14.28515625" customWidth="1"/>
    <col min="5629" max="5629" width="13.85546875" customWidth="1"/>
    <col min="5630" max="5630" width="14.28515625" customWidth="1"/>
    <col min="5631" max="5631" width="12" customWidth="1"/>
    <col min="5632" max="5632" width="13" customWidth="1"/>
    <col min="5634" max="5634" width="11.28515625" customWidth="1"/>
    <col min="5635" max="5635" width="12" customWidth="1"/>
    <col min="5636" max="5636" width="10.5703125" customWidth="1"/>
    <col min="5637" max="5637" width="11.85546875" customWidth="1"/>
    <col min="5638" max="5638" width="12.28515625" customWidth="1"/>
    <col min="5639" max="5639" width="11.28515625" customWidth="1"/>
    <col min="5640" max="5640" width="11.140625" customWidth="1"/>
    <col min="5641" max="5641" width="11.85546875" customWidth="1"/>
    <col min="5642" max="5642" width="10.28515625" bestFit="1" customWidth="1"/>
    <col min="5643" max="5643" width="11.42578125" customWidth="1"/>
    <col min="5876" max="5876" width="30.85546875" customWidth="1"/>
    <col min="5877" max="5877" width="12.85546875" customWidth="1"/>
    <col min="5878" max="5878" width="13.140625" customWidth="1"/>
    <col min="5879" max="5879" width="14.28515625" customWidth="1"/>
    <col min="5880" max="5880" width="16" customWidth="1"/>
    <col min="5881" max="5881" width="15.5703125" customWidth="1"/>
    <col min="5882" max="5884" width="14.28515625" customWidth="1"/>
    <col min="5885" max="5885" width="13.85546875" customWidth="1"/>
    <col min="5886" max="5886" width="14.28515625" customWidth="1"/>
    <col min="5887" max="5887" width="12" customWidth="1"/>
    <col min="5888" max="5888" width="13" customWidth="1"/>
    <col min="5890" max="5890" width="11.28515625" customWidth="1"/>
    <col min="5891" max="5891" width="12" customWidth="1"/>
    <col min="5892" max="5892" width="10.5703125" customWidth="1"/>
    <col min="5893" max="5893" width="11.85546875" customWidth="1"/>
    <col min="5894" max="5894" width="12.28515625" customWidth="1"/>
    <col min="5895" max="5895" width="11.28515625" customWidth="1"/>
    <col min="5896" max="5896" width="11.140625" customWidth="1"/>
    <col min="5897" max="5897" width="11.85546875" customWidth="1"/>
    <col min="5898" max="5898" width="10.28515625" bestFit="1" customWidth="1"/>
    <col min="5899" max="5899" width="11.42578125" customWidth="1"/>
    <col min="6132" max="6132" width="30.85546875" customWidth="1"/>
    <col min="6133" max="6133" width="12.85546875" customWidth="1"/>
    <col min="6134" max="6134" width="13.140625" customWidth="1"/>
    <col min="6135" max="6135" width="14.28515625" customWidth="1"/>
    <col min="6136" max="6136" width="16" customWidth="1"/>
    <col min="6137" max="6137" width="15.5703125" customWidth="1"/>
    <col min="6138" max="6140" width="14.28515625" customWidth="1"/>
    <col min="6141" max="6141" width="13.85546875" customWidth="1"/>
    <col min="6142" max="6142" width="14.28515625" customWidth="1"/>
    <col min="6143" max="6143" width="12" customWidth="1"/>
    <col min="6144" max="6144" width="13" customWidth="1"/>
    <col min="6146" max="6146" width="11.28515625" customWidth="1"/>
    <col min="6147" max="6147" width="12" customWidth="1"/>
    <col min="6148" max="6148" width="10.5703125" customWidth="1"/>
    <col min="6149" max="6149" width="11.85546875" customWidth="1"/>
    <col min="6150" max="6150" width="12.28515625" customWidth="1"/>
    <col min="6151" max="6151" width="11.28515625" customWidth="1"/>
    <col min="6152" max="6152" width="11.140625" customWidth="1"/>
    <col min="6153" max="6153" width="11.85546875" customWidth="1"/>
    <col min="6154" max="6154" width="10.28515625" bestFit="1" customWidth="1"/>
    <col min="6155" max="6155" width="11.42578125" customWidth="1"/>
    <col min="6388" max="6388" width="30.85546875" customWidth="1"/>
    <col min="6389" max="6389" width="12.85546875" customWidth="1"/>
    <col min="6390" max="6390" width="13.140625" customWidth="1"/>
    <col min="6391" max="6391" width="14.28515625" customWidth="1"/>
    <col min="6392" max="6392" width="16" customWidth="1"/>
    <col min="6393" max="6393" width="15.5703125" customWidth="1"/>
    <col min="6394" max="6396" width="14.28515625" customWidth="1"/>
    <col min="6397" max="6397" width="13.85546875" customWidth="1"/>
    <col min="6398" max="6398" width="14.28515625" customWidth="1"/>
    <col min="6399" max="6399" width="12" customWidth="1"/>
    <col min="6400" max="6400" width="13" customWidth="1"/>
    <col min="6402" max="6402" width="11.28515625" customWidth="1"/>
    <col min="6403" max="6403" width="12" customWidth="1"/>
    <col min="6404" max="6404" width="10.5703125" customWidth="1"/>
    <col min="6405" max="6405" width="11.85546875" customWidth="1"/>
    <col min="6406" max="6406" width="12.28515625" customWidth="1"/>
    <col min="6407" max="6407" width="11.28515625" customWidth="1"/>
    <col min="6408" max="6408" width="11.140625" customWidth="1"/>
    <col min="6409" max="6409" width="11.85546875" customWidth="1"/>
    <col min="6410" max="6410" width="10.28515625" bestFit="1" customWidth="1"/>
    <col min="6411" max="6411" width="11.42578125" customWidth="1"/>
    <col min="6644" max="6644" width="30.85546875" customWidth="1"/>
    <col min="6645" max="6645" width="12.85546875" customWidth="1"/>
    <col min="6646" max="6646" width="13.140625" customWidth="1"/>
    <col min="6647" max="6647" width="14.28515625" customWidth="1"/>
    <col min="6648" max="6648" width="16" customWidth="1"/>
    <col min="6649" max="6649" width="15.5703125" customWidth="1"/>
    <col min="6650" max="6652" width="14.28515625" customWidth="1"/>
    <col min="6653" max="6653" width="13.85546875" customWidth="1"/>
    <col min="6654" max="6654" width="14.28515625" customWidth="1"/>
    <col min="6655" max="6655" width="12" customWidth="1"/>
    <col min="6656" max="6656" width="13" customWidth="1"/>
    <col min="6658" max="6658" width="11.28515625" customWidth="1"/>
    <col min="6659" max="6659" width="12" customWidth="1"/>
    <col min="6660" max="6660" width="10.5703125" customWidth="1"/>
    <col min="6661" max="6661" width="11.85546875" customWidth="1"/>
    <col min="6662" max="6662" width="12.28515625" customWidth="1"/>
    <col min="6663" max="6663" width="11.28515625" customWidth="1"/>
    <col min="6664" max="6664" width="11.140625" customWidth="1"/>
    <col min="6665" max="6665" width="11.85546875" customWidth="1"/>
    <col min="6666" max="6666" width="10.28515625" bestFit="1" customWidth="1"/>
    <col min="6667" max="6667" width="11.42578125" customWidth="1"/>
    <col min="6900" max="6900" width="30.85546875" customWidth="1"/>
    <col min="6901" max="6901" width="12.85546875" customWidth="1"/>
    <col min="6902" max="6902" width="13.140625" customWidth="1"/>
    <col min="6903" max="6903" width="14.28515625" customWidth="1"/>
    <col min="6904" max="6904" width="16" customWidth="1"/>
    <col min="6905" max="6905" width="15.5703125" customWidth="1"/>
    <col min="6906" max="6908" width="14.28515625" customWidth="1"/>
    <col min="6909" max="6909" width="13.85546875" customWidth="1"/>
    <col min="6910" max="6910" width="14.28515625" customWidth="1"/>
    <col min="6911" max="6911" width="12" customWidth="1"/>
    <col min="6912" max="6912" width="13" customWidth="1"/>
    <col min="6914" max="6914" width="11.28515625" customWidth="1"/>
    <col min="6915" max="6915" width="12" customWidth="1"/>
    <col min="6916" max="6916" width="10.5703125" customWidth="1"/>
    <col min="6917" max="6917" width="11.85546875" customWidth="1"/>
    <col min="6918" max="6918" width="12.28515625" customWidth="1"/>
    <col min="6919" max="6919" width="11.28515625" customWidth="1"/>
    <col min="6920" max="6920" width="11.140625" customWidth="1"/>
    <col min="6921" max="6921" width="11.85546875" customWidth="1"/>
    <col min="6922" max="6922" width="10.28515625" bestFit="1" customWidth="1"/>
    <col min="6923" max="6923" width="11.42578125" customWidth="1"/>
    <col min="7156" max="7156" width="30.85546875" customWidth="1"/>
    <col min="7157" max="7157" width="12.85546875" customWidth="1"/>
    <col min="7158" max="7158" width="13.140625" customWidth="1"/>
    <col min="7159" max="7159" width="14.28515625" customWidth="1"/>
    <col min="7160" max="7160" width="16" customWidth="1"/>
    <col min="7161" max="7161" width="15.5703125" customWidth="1"/>
    <col min="7162" max="7164" width="14.28515625" customWidth="1"/>
    <col min="7165" max="7165" width="13.85546875" customWidth="1"/>
    <col min="7166" max="7166" width="14.28515625" customWidth="1"/>
    <col min="7167" max="7167" width="12" customWidth="1"/>
    <col min="7168" max="7168" width="13" customWidth="1"/>
    <col min="7170" max="7170" width="11.28515625" customWidth="1"/>
    <col min="7171" max="7171" width="12" customWidth="1"/>
    <col min="7172" max="7172" width="10.5703125" customWidth="1"/>
    <col min="7173" max="7173" width="11.85546875" customWidth="1"/>
    <col min="7174" max="7174" width="12.28515625" customWidth="1"/>
    <col min="7175" max="7175" width="11.28515625" customWidth="1"/>
    <col min="7176" max="7176" width="11.140625" customWidth="1"/>
    <col min="7177" max="7177" width="11.85546875" customWidth="1"/>
    <col min="7178" max="7178" width="10.28515625" bestFit="1" customWidth="1"/>
    <col min="7179" max="7179" width="11.42578125" customWidth="1"/>
    <col min="7412" max="7412" width="30.85546875" customWidth="1"/>
    <col min="7413" max="7413" width="12.85546875" customWidth="1"/>
    <col min="7414" max="7414" width="13.140625" customWidth="1"/>
    <col min="7415" max="7415" width="14.28515625" customWidth="1"/>
    <col min="7416" max="7416" width="16" customWidth="1"/>
    <col min="7417" max="7417" width="15.5703125" customWidth="1"/>
    <col min="7418" max="7420" width="14.28515625" customWidth="1"/>
    <col min="7421" max="7421" width="13.85546875" customWidth="1"/>
    <col min="7422" max="7422" width="14.28515625" customWidth="1"/>
    <col min="7423" max="7423" width="12" customWidth="1"/>
    <col min="7424" max="7424" width="13" customWidth="1"/>
    <col min="7426" max="7426" width="11.28515625" customWidth="1"/>
    <col min="7427" max="7427" width="12" customWidth="1"/>
    <col min="7428" max="7428" width="10.5703125" customWidth="1"/>
    <col min="7429" max="7429" width="11.85546875" customWidth="1"/>
    <col min="7430" max="7430" width="12.28515625" customWidth="1"/>
    <col min="7431" max="7431" width="11.28515625" customWidth="1"/>
    <col min="7432" max="7432" width="11.140625" customWidth="1"/>
    <col min="7433" max="7433" width="11.85546875" customWidth="1"/>
    <col min="7434" max="7434" width="10.28515625" bestFit="1" customWidth="1"/>
    <col min="7435" max="7435" width="11.42578125" customWidth="1"/>
    <col min="7668" max="7668" width="30.85546875" customWidth="1"/>
    <col min="7669" max="7669" width="12.85546875" customWidth="1"/>
    <col min="7670" max="7670" width="13.140625" customWidth="1"/>
    <col min="7671" max="7671" width="14.28515625" customWidth="1"/>
    <col min="7672" max="7672" width="16" customWidth="1"/>
    <col min="7673" max="7673" width="15.5703125" customWidth="1"/>
    <col min="7674" max="7676" width="14.28515625" customWidth="1"/>
    <col min="7677" max="7677" width="13.85546875" customWidth="1"/>
    <col min="7678" max="7678" width="14.28515625" customWidth="1"/>
    <col min="7679" max="7679" width="12" customWidth="1"/>
    <col min="7680" max="7680" width="13" customWidth="1"/>
    <col min="7682" max="7682" width="11.28515625" customWidth="1"/>
    <col min="7683" max="7683" width="12" customWidth="1"/>
    <col min="7684" max="7684" width="10.5703125" customWidth="1"/>
    <col min="7685" max="7685" width="11.85546875" customWidth="1"/>
    <col min="7686" max="7686" width="12.28515625" customWidth="1"/>
    <col min="7687" max="7687" width="11.28515625" customWidth="1"/>
    <col min="7688" max="7688" width="11.140625" customWidth="1"/>
    <col min="7689" max="7689" width="11.85546875" customWidth="1"/>
    <col min="7690" max="7690" width="10.28515625" bestFit="1" customWidth="1"/>
    <col min="7691" max="7691" width="11.42578125" customWidth="1"/>
    <col min="7924" max="7924" width="30.85546875" customWidth="1"/>
    <col min="7925" max="7925" width="12.85546875" customWidth="1"/>
    <col min="7926" max="7926" width="13.140625" customWidth="1"/>
    <col min="7927" max="7927" width="14.28515625" customWidth="1"/>
    <col min="7928" max="7928" width="16" customWidth="1"/>
    <col min="7929" max="7929" width="15.5703125" customWidth="1"/>
    <col min="7930" max="7932" width="14.28515625" customWidth="1"/>
    <col min="7933" max="7933" width="13.85546875" customWidth="1"/>
    <col min="7934" max="7934" width="14.28515625" customWidth="1"/>
    <col min="7935" max="7935" width="12" customWidth="1"/>
    <col min="7936" max="7936" width="13" customWidth="1"/>
    <col min="7938" max="7938" width="11.28515625" customWidth="1"/>
    <col min="7939" max="7939" width="12" customWidth="1"/>
    <col min="7940" max="7940" width="10.5703125" customWidth="1"/>
    <col min="7941" max="7941" width="11.85546875" customWidth="1"/>
    <col min="7942" max="7942" width="12.28515625" customWidth="1"/>
    <col min="7943" max="7943" width="11.28515625" customWidth="1"/>
    <col min="7944" max="7944" width="11.140625" customWidth="1"/>
    <col min="7945" max="7945" width="11.85546875" customWidth="1"/>
    <col min="7946" max="7946" width="10.28515625" bestFit="1" customWidth="1"/>
    <col min="7947" max="7947" width="11.42578125" customWidth="1"/>
    <col min="8180" max="8180" width="30.85546875" customWidth="1"/>
    <col min="8181" max="8181" width="12.85546875" customWidth="1"/>
    <col min="8182" max="8182" width="13.140625" customWidth="1"/>
    <col min="8183" max="8183" width="14.28515625" customWidth="1"/>
    <col min="8184" max="8184" width="16" customWidth="1"/>
    <col min="8185" max="8185" width="15.5703125" customWidth="1"/>
    <col min="8186" max="8188" width="14.28515625" customWidth="1"/>
    <col min="8189" max="8189" width="13.85546875" customWidth="1"/>
    <col min="8190" max="8190" width="14.28515625" customWidth="1"/>
    <col min="8191" max="8191" width="12" customWidth="1"/>
    <col min="8192" max="8192" width="13" customWidth="1"/>
    <col min="8194" max="8194" width="11.28515625" customWidth="1"/>
    <col min="8195" max="8195" width="12" customWidth="1"/>
    <col min="8196" max="8196" width="10.5703125" customWidth="1"/>
    <col min="8197" max="8197" width="11.85546875" customWidth="1"/>
    <col min="8198" max="8198" width="12.28515625" customWidth="1"/>
    <col min="8199" max="8199" width="11.28515625" customWidth="1"/>
    <col min="8200" max="8200" width="11.140625" customWidth="1"/>
    <col min="8201" max="8201" width="11.85546875" customWidth="1"/>
    <col min="8202" max="8202" width="10.28515625" bestFit="1" customWidth="1"/>
    <col min="8203" max="8203" width="11.42578125" customWidth="1"/>
    <col min="8436" max="8436" width="30.85546875" customWidth="1"/>
    <col min="8437" max="8437" width="12.85546875" customWidth="1"/>
    <col min="8438" max="8438" width="13.140625" customWidth="1"/>
    <col min="8439" max="8439" width="14.28515625" customWidth="1"/>
    <col min="8440" max="8440" width="16" customWidth="1"/>
    <col min="8441" max="8441" width="15.5703125" customWidth="1"/>
    <col min="8442" max="8444" width="14.28515625" customWidth="1"/>
    <col min="8445" max="8445" width="13.85546875" customWidth="1"/>
    <col min="8446" max="8446" width="14.28515625" customWidth="1"/>
    <col min="8447" max="8447" width="12" customWidth="1"/>
    <col min="8448" max="8448" width="13" customWidth="1"/>
    <col min="8450" max="8450" width="11.28515625" customWidth="1"/>
    <col min="8451" max="8451" width="12" customWidth="1"/>
    <col min="8452" max="8452" width="10.5703125" customWidth="1"/>
    <col min="8453" max="8453" width="11.85546875" customWidth="1"/>
    <col min="8454" max="8454" width="12.28515625" customWidth="1"/>
    <col min="8455" max="8455" width="11.28515625" customWidth="1"/>
    <col min="8456" max="8456" width="11.140625" customWidth="1"/>
    <col min="8457" max="8457" width="11.85546875" customWidth="1"/>
    <col min="8458" max="8458" width="10.28515625" bestFit="1" customWidth="1"/>
    <col min="8459" max="8459" width="11.42578125" customWidth="1"/>
    <col min="8692" max="8692" width="30.85546875" customWidth="1"/>
    <col min="8693" max="8693" width="12.85546875" customWidth="1"/>
    <col min="8694" max="8694" width="13.140625" customWidth="1"/>
    <col min="8695" max="8695" width="14.28515625" customWidth="1"/>
    <col min="8696" max="8696" width="16" customWidth="1"/>
    <col min="8697" max="8697" width="15.5703125" customWidth="1"/>
    <col min="8698" max="8700" width="14.28515625" customWidth="1"/>
    <col min="8701" max="8701" width="13.85546875" customWidth="1"/>
    <col min="8702" max="8702" width="14.28515625" customWidth="1"/>
    <col min="8703" max="8703" width="12" customWidth="1"/>
    <col min="8704" max="8704" width="13" customWidth="1"/>
    <col min="8706" max="8706" width="11.28515625" customWidth="1"/>
    <col min="8707" max="8707" width="12" customWidth="1"/>
    <col min="8708" max="8708" width="10.5703125" customWidth="1"/>
    <col min="8709" max="8709" width="11.85546875" customWidth="1"/>
    <col min="8710" max="8710" width="12.28515625" customWidth="1"/>
    <col min="8711" max="8711" width="11.28515625" customWidth="1"/>
    <col min="8712" max="8712" width="11.140625" customWidth="1"/>
    <col min="8713" max="8713" width="11.85546875" customWidth="1"/>
    <col min="8714" max="8714" width="10.28515625" bestFit="1" customWidth="1"/>
    <col min="8715" max="8715" width="11.42578125" customWidth="1"/>
    <col min="8948" max="8948" width="30.85546875" customWidth="1"/>
    <col min="8949" max="8949" width="12.85546875" customWidth="1"/>
    <col min="8950" max="8950" width="13.140625" customWidth="1"/>
    <col min="8951" max="8951" width="14.28515625" customWidth="1"/>
    <col min="8952" max="8952" width="16" customWidth="1"/>
    <col min="8953" max="8953" width="15.5703125" customWidth="1"/>
    <col min="8954" max="8956" width="14.28515625" customWidth="1"/>
    <col min="8957" max="8957" width="13.85546875" customWidth="1"/>
    <col min="8958" max="8958" width="14.28515625" customWidth="1"/>
    <col min="8959" max="8959" width="12" customWidth="1"/>
    <col min="8960" max="8960" width="13" customWidth="1"/>
    <col min="8962" max="8962" width="11.28515625" customWidth="1"/>
    <col min="8963" max="8963" width="12" customWidth="1"/>
    <col min="8964" max="8964" width="10.5703125" customWidth="1"/>
    <col min="8965" max="8965" width="11.85546875" customWidth="1"/>
    <col min="8966" max="8966" width="12.28515625" customWidth="1"/>
    <col min="8967" max="8967" width="11.28515625" customWidth="1"/>
    <col min="8968" max="8968" width="11.140625" customWidth="1"/>
    <col min="8969" max="8969" width="11.85546875" customWidth="1"/>
    <col min="8970" max="8970" width="10.28515625" bestFit="1" customWidth="1"/>
    <col min="8971" max="8971" width="11.42578125" customWidth="1"/>
    <col min="9204" max="9204" width="30.85546875" customWidth="1"/>
    <col min="9205" max="9205" width="12.85546875" customWidth="1"/>
    <col min="9206" max="9206" width="13.140625" customWidth="1"/>
    <col min="9207" max="9207" width="14.28515625" customWidth="1"/>
    <col min="9208" max="9208" width="16" customWidth="1"/>
    <col min="9209" max="9209" width="15.5703125" customWidth="1"/>
    <col min="9210" max="9212" width="14.28515625" customWidth="1"/>
    <col min="9213" max="9213" width="13.85546875" customWidth="1"/>
    <col min="9214" max="9214" width="14.28515625" customWidth="1"/>
    <col min="9215" max="9215" width="12" customWidth="1"/>
    <col min="9216" max="9216" width="13" customWidth="1"/>
    <col min="9218" max="9218" width="11.28515625" customWidth="1"/>
    <col min="9219" max="9219" width="12" customWidth="1"/>
    <col min="9220" max="9220" width="10.5703125" customWidth="1"/>
    <col min="9221" max="9221" width="11.85546875" customWidth="1"/>
    <col min="9222" max="9222" width="12.28515625" customWidth="1"/>
    <col min="9223" max="9223" width="11.28515625" customWidth="1"/>
    <col min="9224" max="9224" width="11.140625" customWidth="1"/>
    <col min="9225" max="9225" width="11.85546875" customWidth="1"/>
    <col min="9226" max="9226" width="10.28515625" bestFit="1" customWidth="1"/>
    <col min="9227" max="9227" width="11.42578125" customWidth="1"/>
    <col min="9460" max="9460" width="30.85546875" customWidth="1"/>
    <col min="9461" max="9461" width="12.85546875" customWidth="1"/>
    <col min="9462" max="9462" width="13.140625" customWidth="1"/>
    <col min="9463" max="9463" width="14.28515625" customWidth="1"/>
    <col min="9464" max="9464" width="16" customWidth="1"/>
    <col min="9465" max="9465" width="15.5703125" customWidth="1"/>
    <col min="9466" max="9468" width="14.28515625" customWidth="1"/>
    <col min="9469" max="9469" width="13.85546875" customWidth="1"/>
    <col min="9470" max="9470" width="14.28515625" customWidth="1"/>
    <col min="9471" max="9471" width="12" customWidth="1"/>
    <col min="9472" max="9472" width="13" customWidth="1"/>
    <col min="9474" max="9474" width="11.28515625" customWidth="1"/>
    <col min="9475" max="9475" width="12" customWidth="1"/>
    <col min="9476" max="9476" width="10.5703125" customWidth="1"/>
    <col min="9477" max="9477" width="11.85546875" customWidth="1"/>
    <col min="9478" max="9478" width="12.28515625" customWidth="1"/>
    <col min="9479" max="9479" width="11.28515625" customWidth="1"/>
    <col min="9480" max="9480" width="11.140625" customWidth="1"/>
    <col min="9481" max="9481" width="11.85546875" customWidth="1"/>
    <col min="9482" max="9482" width="10.28515625" bestFit="1" customWidth="1"/>
    <col min="9483" max="9483" width="11.42578125" customWidth="1"/>
    <col min="9716" max="9716" width="30.85546875" customWidth="1"/>
    <col min="9717" max="9717" width="12.85546875" customWidth="1"/>
    <col min="9718" max="9718" width="13.140625" customWidth="1"/>
    <col min="9719" max="9719" width="14.28515625" customWidth="1"/>
    <col min="9720" max="9720" width="16" customWidth="1"/>
    <col min="9721" max="9721" width="15.5703125" customWidth="1"/>
    <col min="9722" max="9724" width="14.28515625" customWidth="1"/>
    <col min="9725" max="9725" width="13.85546875" customWidth="1"/>
    <col min="9726" max="9726" width="14.28515625" customWidth="1"/>
    <col min="9727" max="9727" width="12" customWidth="1"/>
    <col min="9728" max="9728" width="13" customWidth="1"/>
    <col min="9730" max="9730" width="11.28515625" customWidth="1"/>
    <col min="9731" max="9731" width="12" customWidth="1"/>
    <col min="9732" max="9732" width="10.5703125" customWidth="1"/>
    <col min="9733" max="9733" width="11.85546875" customWidth="1"/>
    <col min="9734" max="9734" width="12.28515625" customWidth="1"/>
    <col min="9735" max="9735" width="11.28515625" customWidth="1"/>
    <col min="9736" max="9736" width="11.140625" customWidth="1"/>
    <col min="9737" max="9737" width="11.85546875" customWidth="1"/>
    <col min="9738" max="9738" width="10.28515625" bestFit="1" customWidth="1"/>
    <col min="9739" max="9739" width="11.42578125" customWidth="1"/>
    <col min="9972" max="9972" width="30.85546875" customWidth="1"/>
    <col min="9973" max="9973" width="12.85546875" customWidth="1"/>
    <col min="9974" max="9974" width="13.140625" customWidth="1"/>
    <col min="9975" max="9975" width="14.28515625" customWidth="1"/>
    <col min="9976" max="9976" width="16" customWidth="1"/>
    <col min="9977" max="9977" width="15.5703125" customWidth="1"/>
    <col min="9978" max="9980" width="14.28515625" customWidth="1"/>
    <col min="9981" max="9981" width="13.85546875" customWidth="1"/>
    <col min="9982" max="9982" width="14.28515625" customWidth="1"/>
    <col min="9983" max="9983" width="12" customWidth="1"/>
    <col min="9984" max="9984" width="13" customWidth="1"/>
    <col min="9986" max="9986" width="11.28515625" customWidth="1"/>
    <col min="9987" max="9987" width="12" customWidth="1"/>
    <col min="9988" max="9988" width="10.5703125" customWidth="1"/>
    <col min="9989" max="9989" width="11.85546875" customWidth="1"/>
    <col min="9990" max="9990" width="12.28515625" customWidth="1"/>
    <col min="9991" max="9991" width="11.28515625" customWidth="1"/>
    <col min="9992" max="9992" width="11.140625" customWidth="1"/>
    <col min="9993" max="9993" width="11.85546875" customWidth="1"/>
    <col min="9994" max="9994" width="10.28515625" bestFit="1" customWidth="1"/>
    <col min="9995" max="9995" width="11.42578125" customWidth="1"/>
    <col min="10228" max="10228" width="30.85546875" customWidth="1"/>
    <col min="10229" max="10229" width="12.85546875" customWidth="1"/>
    <col min="10230" max="10230" width="13.140625" customWidth="1"/>
    <col min="10231" max="10231" width="14.28515625" customWidth="1"/>
    <col min="10232" max="10232" width="16" customWidth="1"/>
    <col min="10233" max="10233" width="15.5703125" customWidth="1"/>
    <col min="10234" max="10236" width="14.28515625" customWidth="1"/>
    <col min="10237" max="10237" width="13.85546875" customWidth="1"/>
    <col min="10238" max="10238" width="14.28515625" customWidth="1"/>
    <col min="10239" max="10239" width="12" customWidth="1"/>
    <col min="10240" max="10240" width="13" customWidth="1"/>
    <col min="10242" max="10242" width="11.28515625" customWidth="1"/>
    <col min="10243" max="10243" width="12" customWidth="1"/>
    <col min="10244" max="10244" width="10.5703125" customWidth="1"/>
    <col min="10245" max="10245" width="11.85546875" customWidth="1"/>
    <col min="10246" max="10246" width="12.28515625" customWidth="1"/>
    <col min="10247" max="10247" width="11.28515625" customWidth="1"/>
    <col min="10248" max="10248" width="11.140625" customWidth="1"/>
    <col min="10249" max="10249" width="11.85546875" customWidth="1"/>
    <col min="10250" max="10250" width="10.28515625" bestFit="1" customWidth="1"/>
    <col min="10251" max="10251" width="11.42578125" customWidth="1"/>
    <col min="10484" max="10484" width="30.85546875" customWidth="1"/>
    <col min="10485" max="10485" width="12.85546875" customWidth="1"/>
    <col min="10486" max="10486" width="13.140625" customWidth="1"/>
    <col min="10487" max="10487" width="14.28515625" customWidth="1"/>
    <col min="10488" max="10488" width="16" customWidth="1"/>
    <col min="10489" max="10489" width="15.5703125" customWidth="1"/>
    <col min="10490" max="10492" width="14.28515625" customWidth="1"/>
    <col min="10493" max="10493" width="13.85546875" customWidth="1"/>
    <col min="10494" max="10494" width="14.28515625" customWidth="1"/>
    <col min="10495" max="10495" width="12" customWidth="1"/>
    <col min="10496" max="10496" width="13" customWidth="1"/>
    <col min="10498" max="10498" width="11.28515625" customWidth="1"/>
    <col min="10499" max="10499" width="12" customWidth="1"/>
    <col min="10500" max="10500" width="10.5703125" customWidth="1"/>
    <col min="10501" max="10501" width="11.85546875" customWidth="1"/>
    <col min="10502" max="10502" width="12.28515625" customWidth="1"/>
    <col min="10503" max="10503" width="11.28515625" customWidth="1"/>
    <col min="10504" max="10504" width="11.140625" customWidth="1"/>
    <col min="10505" max="10505" width="11.85546875" customWidth="1"/>
    <col min="10506" max="10506" width="10.28515625" bestFit="1" customWidth="1"/>
    <col min="10507" max="10507" width="11.42578125" customWidth="1"/>
    <col min="10740" max="10740" width="30.85546875" customWidth="1"/>
    <col min="10741" max="10741" width="12.85546875" customWidth="1"/>
    <col min="10742" max="10742" width="13.140625" customWidth="1"/>
    <col min="10743" max="10743" width="14.28515625" customWidth="1"/>
    <col min="10744" max="10744" width="16" customWidth="1"/>
    <col min="10745" max="10745" width="15.5703125" customWidth="1"/>
    <col min="10746" max="10748" width="14.28515625" customWidth="1"/>
    <col min="10749" max="10749" width="13.85546875" customWidth="1"/>
    <col min="10750" max="10750" width="14.28515625" customWidth="1"/>
    <col min="10751" max="10751" width="12" customWidth="1"/>
    <col min="10752" max="10752" width="13" customWidth="1"/>
    <col min="10754" max="10754" width="11.28515625" customWidth="1"/>
    <col min="10755" max="10755" width="12" customWidth="1"/>
    <col min="10756" max="10756" width="10.5703125" customWidth="1"/>
    <col min="10757" max="10757" width="11.85546875" customWidth="1"/>
    <col min="10758" max="10758" width="12.28515625" customWidth="1"/>
    <col min="10759" max="10759" width="11.28515625" customWidth="1"/>
    <col min="10760" max="10760" width="11.140625" customWidth="1"/>
    <col min="10761" max="10761" width="11.85546875" customWidth="1"/>
    <col min="10762" max="10762" width="10.28515625" bestFit="1" customWidth="1"/>
    <col min="10763" max="10763" width="11.42578125" customWidth="1"/>
    <col min="10996" max="10996" width="30.85546875" customWidth="1"/>
    <col min="10997" max="10997" width="12.85546875" customWidth="1"/>
    <col min="10998" max="10998" width="13.140625" customWidth="1"/>
    <col min="10999" max="10999" width="14.28515625" customWidth="1"/>
    <col min="11000" max="11000" width="16" customWidth="1"/>
    <col min="11001" max="11001" width="15.5703125" customWidth="1"/>
    <col min="11002" max="11004" width="14.28515625" customWidth="1"/>
    <col min="11005" max="11005" width="13.85546875" customWidth="1"/>
    <col min="11006" max="11006" width="14.28515625" customWidth="1"/>
    <col min="11007" max="11007" width="12" customWidth="1"/>
    <col min="11008" max="11008" width="13" customWidth="1"/>
    <col min="11010" max="11010" width="11.28515625" customWidth="1"/>
    <col min="11011" max="11011" width="12" customWidth="1"/>
    <col min="11012" max="11012" width="10.5703125" customWidth="1"/>
    <col min="11013" max="11013" width="11.85546875" customWidth="1"/>
    <col min="11014" max="11014" width="12.28515625" customWidth="1"/>
    <col min="11015" max="11015" width="11.28515625" customWidth="1"/>
    <col min="11016" max="11016" width="11.140625" customWidth="1"/>
    <col min="11017" max="11017" width="11.85546875" customWidth="1"/>
    <col min="11018" max="11018" width="10.28515625" bestFit="1" customWidth="1"/>
    <col min="11019" max="11019" width="11.42578125" customWidth="1"/>
    <col min="11252" max="11252" width="30.85546875" customWidth="1"/>
    <col min="11253" max="11253" width="12.85546875" customWidth="1"/>
    <col min="11254" max="11254" width="13.140625" customWidth="1"/>
    <col min="11255" max="11255" width="14.28515625" customWidth="1"/>
    <col min="11256" max="11256" width="16" customWidth="1"/>
    <col min="11257" max="11257" width="15.5703125" customWidth="1"/>
    <col min="11258" max="11260" width="14.28515625" customWidth="1"/>
    <col min="11261" max="11261" width="13.85546875" customWidth="1"/>
    <col min="11262" max="11262" width="14.28515625" customWidth="1"/>
    <col min="11263" max="11263" width="12" customWidth="1"/>
    <col min="11264" max="11264" width="13" customWidth="1"/>
    <col min="11266" max="11266" width="11.28515625" customWidth="1"/>
    <col min="11267" max="11267" width="12" customWidth="1"/>
    <col min="11268" max="11268" width="10.5703125" customWidth="1"/>
    <col min="11269" max="11269" width="11.85546875" customWidth="1"/>
    <col min="11270" max="11270" width="12.28515625" customWidth="1"/>
    <col min="11271" max="11271" width="11.28515625" customWidth="1"/>
    <col min="11272" max="11272" width="11.140625" customWidth="1"/>
    <col min="11273" max="11273" width="11.85546875" customWidth="1"/>
    <col min="11274" max="11274" width="10.28515625" bestFit="1" customWidth="1"/>
    <col min="11275" max="11275" width="11.42578125" customWidth="1"/>
    <col min="11508" max="11508" width="30.85546875" customWidth="1"/>
    <col min="11509" max="11509" width="12.85546875" customWidth="1"/>
    <col min="11510" max="11510" width="13.140625" customWidth="1"/>
    <col min="11511" max="11511" width="14.28515625" customWidth="1"/>
    <col min="11512" max="11512" width="16" customWidth="1"/>
    <col min="11513" max="11513" width="15.5703125" customWidth="1"/>
    <col min="11514" max="11516" width="14.28515625" customWidth="1"/>
    <col min="11517" max="11517" width="13.85546875" customWidth="1"/>
    <col min="11518" max="11518" width="14.28515625" customWidth="1"/>
    <col min="11519" max="11519" width="12" customWidth="1"/>
    <col min="11520" max="11520" width="13" customWidth="1"/>
    <col min="11522" max="11522" width="11.28515625" customWidth="1"/>
    <col min="11523" max="11523" width="12" customWidth="1"/>
    <col min="11524" max="11524" width="10.5703125" customWidth="1"/>
    <col min="11525" max="11525" width="11.85546875" customWidth="1"/>
    <col min="11526" max="11526" width="12.28515625" customWidth="1"/>
    <col min="11527" max="11527" width="11.28515625" customWidth="1"/>
    <col min="11528" max="11528" width="11.140625" customWidth="1"/>
    <col min="11529" max="11529" width="11.85546875" customWidth="1"/>
    <col min="11530" max="11530" width="10.28515625" bestFit="1" customWidth="1"/>
    <col min="11531" max="11531" width="11.42578125" customWidth="1"/>
    <col min="11764" max="11764" width="30.85546875" customWidth="1"/>
    <col min="11765" max="11765" width="12.85546875" customWidth="1"/>
    <col min="11766" max="11766" width="13.140625" customWidth="1"/>
    <col min="11767" max="11767" width="14.28515625" customWidth="1"/>
    <col min="11768" max="11768" width="16" customWidth="1"/>
    <col min="11769" max="11769" width="15.5703125" customWidth="1"/>
    <col min="11770" max="11772" width="14.28515625" customWidth="1"/>
    <col min="11773" max="11773" width="13.85546875" customWidth="1"/>
    <col min="11774" max="11774" width="14.28515625" customWidth="1"/>
    <col min="11775" max="11775" width="12" customWidth="1"/>
    <col min="11776" max="11776" width="13" customWidth="1"/>
    <col min="11778" max="11778" width="11.28515625" customWidth="1"/>
    <col min="11779" max="11779" width="12" customWidth="1"/>
    <col min="11780" max="11780" width="10.5703125" customWidth="1"/>
    <col min="11781" max="11781" width="11.85546875" customWidth="1"/>
    <col min="11782" max="11782" width="12.28515625" customWidth="1"/>
    <col min="11783" max="11783" width="11.28515625" customWidth="1"/>
    <col min="11784" max="11784" width="11.140625" customWidth="1"/>
    <col min="11785" max="11785" width="11.85546875" customWidth="1"/>
    <col min="11786" max="11786" width="10.28515625" bestFit="1" customWidth="1"/>
    <col min="11787" max="11787" width="11.42578125" customWidth="1"/>
    <col min="12020" max="12020" width="30.85546875" customWidth="1"/>
    <col min="12021" max="12021" width="12.85546875" customWidth="1"/>
    <col min="12022" max="12022" width="13.140625" customWidth="1"/>
    <col min="12023" max="12023" width="14.28515625" customWidth="1"/>
    <col min="12024" max="12024" width="16" customWidth="1"/>
    <col min="12025" max="12025" width="15.5703125" customWidth="1"/>
    <col min="12026" max="12028" width="14.28515625" customWidth="1"/>
    <col min="12029" max="12029" width="13.85546875" customWidth="1"/>
    <col min="12030" max="12030" width="14.28515625" customWidth="1"/>
    <col min="12031" max="12031" width="12" customWidth="1"/>
    <col min="12032" max="12032" width="13" customWidth="1"/>
    <col min="12034" max="12034" width="11.28515625" customWidth="1"/>
    <col min="12035" max="12035" width="12" customWidth="1"/>
    <col min="12036" max="12036" width="10.5703125" customWidth="1"/>
    <col min="12037" max="12037" width="11.85546875" customWidth="1"/>
    <col min="12038" max="12038" width="12.28515625" customWidth="1"/>
    <col min="12039" max="12039" width="11.28515625" customWidth="1"/>
    <col min="12040" max="12040" width="11.140625" customWidth="1"/>
    <col min="12041" max="12041" width="11.85546875" customWidth="1"/>
    <col min="12042" max="12042" width="10.28515625" bestFit="1" customWidth="1"/>
    <col min="12043" max="12043" width="11.42578125" customWidth="1"/>
    <col min="12276" max="12276" width="30.85546875" customWidth="1"/>
    <col min="12277" max="12277" width="12.85546875" customWidth="1"/>
    <col min="12278" max="12278" width="13.140625" customWidth="1"/>
    <col min="12279" max="12279" width="14.28515625" customWidth="1"/>
    <col min="12280" max="12280" width="16" customWidth="1"/>
    <col min="12281" max="12281" width="15.5703125" customWidth="1"/>
    <col min="12282" max="12284" width="14.28515625" customWidth="1"/>
    <col min="12285" max="12285" width="13.85546875" customWidth="1"/>
    <col min="12286" max="12286" width="14.28515625" customWidth="1"/>
    <col min="12287" max="12287" width="12" customWidth="1"/>
    <col min="12288" max="12288" width="13" customWidth="1"/>
    <col min="12290" max="12290" width="11.28515625" customWidth="1"/>
    <col min="12291" max="12291" width="12" customWidth="1"/>
    <col min="12292" max="12292" width="10.5703125" customWidth="1"/>
    <col min="12293" max="12293" width="11.85546875" customWidth="1"/>
    <col min="12294" max="12294" width="12.28515625" customWidth="1"/>
    <col min="12295" max="12295" width="11.28515625" customWidth="1"/>
    <col min="12296" max="12296" width="11.140625" customWidth="1"/>
    <col min="12297" max="12297" width="11.85546875" customWidth="1"/>
    <col min="12298" max="12298" width="10.28515625" bestFit="1" customWidth="1"/>
    <col min="12299" max="12299" width="11.42578125" customWidth="1"/>
    <col min="12532" max="12532" width="30.85546875" customWidth="1"/>
    <col min="12533" max="12533" width="12.85546875" customWidth="1"/>
    <col min="12534" max="12534" width="13.140625" customWidth="1"/>
    <col min="12535" max="12535" width="14.28515625" customWidth="1"/>
    <col min="12536" max="12536" width="16" customWidth="1"/>
    <col min="12537" max="12537" width="15.5703125" customWidth="1"/>
    <col min="12538" max="12540" width="14.28515625" customWidth="1"/>
    <col min="12541" max="12541" width="13.85546875" customWidth="1"/>
    <col min="12542" max="12542" width="14.28515625" customWidth="1"/>
    <col min="12543" max="12543" width="12" customWidth="1"/>
    <col min="12544" max="12544" width="13" customWidth="1"/>
    <col min="12546" max="12546" width="11.28515625" customWidth="1"/>
    <col min="12547" max="12547" width="12" customWidth="1"/>
    <col min="12548" max="12548" width="10.5703125" customWidth="1"/>
    <col min="12549" max="12549" width="11.85546875" customWidth="1"/>
    <col min="12550" max="12550" width="12.28515625" customWidth="1"/>
    <col min="12551" max="12551" width="11.28515625" customWidth="1"/>
    <col min="12552" max="12552" width="11.140625" customWidth="1"/>
    <col min="12553" max="12553" width="11.85546875" customWidth="1"/>
    <col min="12554" max="12554" width="10.28515625" bestFit="1" customWidth="1"/>
    <col min="12555" max="12555" width="11.42578125" customWidth="1"/>
    <col min="12788" max="12788" width="30.85546875" customWidth="1"/>
    <col min="12789" max="12789" width="12.85546875" customWidth="1"/>
    <col min="12790" max="12790" width="13.140625" customWidth="1"/>
    <col min="12791" max="12791" width="14.28515625" customWidth="1"/>
    <col min="12792" max="12792" width="16" customWidth="1"/>
    <col min="12793" max="12793" width="15.5703125" customWidth="1"/>
    <col min="12794" max="12796" width="14.28515625" customWidth="1"/>
    <col min="12797" max="12797" width="13.85546875" customWidth="1"/>
    <col min="12798" max="12798" width="14.28515625" customWidth="1"/>
    <col min="12799" max="12799" width="12" customWidth="1"/>
    <col min="12800" max="12800" width="13" customWidth="1"/>
    <col min="12802" max="12802" width="11.28515625" customWidth="1"/>
    <col min="12803" max="12803" width="12" customWidth="1"/>
    <col min="12804" max="12804" width="10.5703125" customWidth="1"/>
    <col min="12805" max="12805" width="11.85546875" customWidth="1"/>
    <col min="12806" max="12806" width="12.28515625" customWidth="1"/>
    <col min="12807" max="12807" width="11.28515625" customWidth="1"/>
    <col min="12808" max="12808" width="11.140625" customWidth="1"/>
    <col min="12809" max="12809" width="11.85546875" customWidth="1"/>
    <col min="12810" max="12810" width="10.28515625" bestFit="1" customWidth="1"/>
    <col min="12811" max="12811" width="11.42578125" customWidth="1"/>
    <col min="13044" max="13044" width="30.85546875" customWidth="1"/>
    <col min="13045" max="13045" width="12.85546875" customWidth="1"/>
    <col min="13046" max="13046" width="13.140625" customWidth="1"/>
    <col min="13047" max="13047" width="14.28515625" customWidth="1"/>
    <col min="13048" max="13048" width="16" customWidth="1"/>
    <col min="13049" max="13049" width="15.5703125" customWidth="1"/>
    <col min="13050" max="13052" width="14.28515625" customWidth="1"/>
    <col min="13053" max="13053" width="13.85546875" customWidth="1"/>
    <col min="13054" max="13054" width="14.28515625" customWidth="1"/>
    <col min="13055" max="13055" width="12" customWidth="1"/>
    <col min="13056" max="13056" width="13" customWidth="1"/>
    <col min="13058" max="13058" width="11.28515625" customWidth="1"/>
    <col min="13059" max="13059" width="12" customWidth="1"/>
    <col min="13060" max="13060" width="10.5703125" customWidth="1"/>
    <col min="13061" max="13061" width="11.85546875" customWidth="1"/>
    <col min="13062" max="13062" width="12.28515625" customWidth="1"/>
    <col min="13063" max="13063" width="11.28515625" customWidth="1"/>
    <col min="13064" max="13064" width="11.140625" customWidth="1"/>
    <col min="13065" max="13065" width="11.85546875" customWidth="1"/>
    <col min="13066" max="13066" width="10.28515625" bestFit="1" customWidth="1"/>
    <col min="13067" max="13067" width="11.42578125" customWidth="1"/>
    <col min="13300" max="13300" width="30.85546875" customWidth="1"/>
    <col min="13301" max="13301" width="12.85546875" customWidth="1"/>
    <col min="13302" max="13302" width="13.140625" customWidth="1"/>
    <col min="13303" max="13303" width="14.28515625" customWidth="1"/>
    <col min="13304" max="13304" width="16" customWidth="1"/>
    <col min="13305" max="13305" width="15.5703125" customWidth="1"/>
    <col min="13306" max="13308" width="14.28515625" customWidth="1"/>
    <col min="13309" max="13309" width="13.85546875" customWidth="1"/>
    <col min="13310" max="13310" width="14.28515625" customWidth="1"/>
    <col min="13311" max="13311" width="12" customWidth="1"/>
    <col min="13312" max="13312" width="13" customWidth="1"/>
    <col min="13314" max="13314" width="11.28515625" customWidth="1"/>
    <col min="13315" max="13315" width="12" customWidth="1"/>
    <col min="13316" max="13316" width="10.5703125" customWidth="1"/>
    <col min="13317" max="13317" width="11.85546875" customWidth="1"/>
    <col min="13318" max="13318" width="12.28515625" customWidth="1"/>
    <col min="13319" max="13319" width="11.28515625" customWidth="1"/>
    <col min="13320" max="13320" width="11.140625" customWidth="1"/>
    <col min="13321" max="13321" width="11.85546875" customWidth="1"/>
    <col min="13322" max="13322" width="10.28515625" bestFit="1" customWidth="1"/>
    <col min="13323" max="13323" width="11.42578125" customWidth="1"/>
    <col min="13556" max="13556" width="30.85546875" customWidth="1"/>
    <col min="13557" max="13557" width="12.85546875" customWidth="1"/>
    <col min="13558" max="13558" width="13.140625" customWidth="1"/>
    <col min="13559" max="13559" width="14.28515625" customWidth="1"/>
    <col min="13560" max="13560" width="16" customWidth="1"/>
    <col min="13561" max="13561" width="15.5703125" customWidth="1"/>
    <col min="13562" max="13564" width="14.28515625" customWidth="1"/>
    <col min="13565" max="13565" width="13.85546875" customWidth="1"/>
    <col min="13566" max="13566" width="14.28515625" customWidth="1"/>
    <col min="13567" max="13567" width="12" customWidth="1"/>
    <col min="13568" max="13568" width="13" customWidth="1"/>
    <col min="13570" max="13570" width="11.28515625" customWidth="1"/>
    <col min="13571" max="13571" width="12" customWidth="1"/>
    <col min="13572" max="13572" width="10.5703125" customWidth="1"/>
    <col min="13573" max="13573" width="11.85546875" customWidth="1"/>
    <col min="13574" max="13574" width="12.28515625" customWidth="1"/>
    <col min="13575" max="13575" width="11.28515625" customWidth="1"/>
    <col min="13576" max="13576" width="11.140625" customWidth="1"/>
    <col min="13577" max="13577" width="11.85546875" customWidth="1"/>
    <col min="13578" max="13578" width="10.28515625" bestFit="1" customWidth="1"/>
    <col min="13579" max="13579" width="11.42578125" customWidth="1"/>
    <col min="13812" max="13812" width="30.85546875" customWidth="1"/>
    <col min="13813" max="13813" width="12.85546875" customWidth="1"/>
    <col min="13814" max="13814" width="13.140625" customWidth="1"/>
    <col min="13815" max="13815" width="14.28515625" customWidth="1"/>
    <col min="13816" max="13816" width="16" customWidth="1"/>
    <col min="13817" max="13817" width="15.5703125" customWidth="1"/>
    <col min="13818" max="13820" width="14.28515625" customWidth="1"/>
    <col min="13821" max="13821" width="13.85546875" customWidth="1"/>
    <col min="13822" max="13822" width="14.28515625" customWidth="1"/>
    <col min="13823" max="13823" width="12" customWidth="1"/>
    <col min="13824" max="13824" width="13" customWidth="1"/>
    <col min="13826" max="13826" width="11.28515625" customWidth="1"/>
    <col min="13827" max="13827" width="12" customWidth="1"/>
    <col min="13828" max="13828" width="10.5703125" customWidth="1"/>
    <col min="13829" max="13829" width="11.85546875" customWidth="1"/>
    <col min="13830" max="13830" width="12.28515625" customWidth="1"/>
    <col min="13831" max="13831" width="11.28515625" customWidth="1"/>
    <col min="13832" max="13832" width="11.140625" customWidth="1"/>
    <col min="13833" max="13833" width="11.85546875" customWidth="1"/>
    <col min="13834" max="13834" width="10.28515625" bestFit="1" customWidth="1"/>
    <col min="13835" max="13835" width="11.42578125" customWidth="1"/>
    <col min="14068" max="14068" width="30.85546875" customWidth="1"/>
    <col min="14069" max="14069" width="12.85546875" customWidth="1"/>
    <col min="14070" max="14070" width="13.140625" customWidth="1"/>
    <col min="14071" max="14071" width="14.28515625" customWidth="1"/>
    <col min="14072" max="14072" width="16" customWidth="1"/>
    <col min="14073" max="14073" width="15.5703125" customWidth="1"/>
    <col min="14074" max="14076" width="14.28515625" customWidth="1"/>
    <col min="14077" max="14077" width="13.85546875" customWidth="1"/>
    <col min="14078" max="14078" width="14.28515625" customWidth="1"/>
    <col min="14079" max="14079" width="12" customWidth="1"/>
    <col min="14080" max="14080" width="13" customWidth="1"/>
    <col min="14082" max="14082" width="11.28515625" customWidth="1"/>
    <col min="14083" max="14083" width="12" customWidth="1"/>
    <col min="14084" max="14084" width="10.5703125" customWidth="1"/>
    <col min="14085" max="14085" width="11.85546875" customWidth="1"/>
    <col min="14086" max="14086" width="12.28515625" customWidth="1"/>
    <col min="14087" max="14087" width="11.28515625" customWidth="1"/>
    <col min="14088" max="14088" width="11.140625" customWidth="1"/>
    <col min="14089" max="14089" width="11.85546875" customWidth="1"/>
    <col min="14090" max="14090" width="10.28515625" bestFit="1" customWidth="1"/>
    <col min="14091" max="14091" width="11.42578125" customWidth="1"/>
    <col min="14324" max="14324" width="30.85546875" customWidth="1"/>
    <col min="14325" max="14325" width="12.85546875" customWidth="1"/>
    <col min="14326" max="14326" width="13.140625" customWidth="1"/>
    <col min="14327" max="14327" width="14.28515625" customWidth="1"/>
    <col min="14328" max="14328" width="16" customWidth="1"/>
    <col min="14329" max="14329" width="15.5703125" customWidth="1"/>
    <col min="14330" max="14332" width="14.28515625" customWidth="1"/>
    <col min="14333" max="14333" width="13.85546875" customWidth="1"/>
    <col min="14334" max="14334" width="14.28515625" customWidth="1"/>
    <col min="14335" max="14335" width="12" customWidth="1"/>
    <col min="14336" max="14336" width="13" customWidth="1"/>
    <col min="14338" max="14338" width="11.28515625" customWidth="1"/>
    <col min="14339" max="14339" width="12" customWidth="1"/>
    <col min="14340" max="14340" width="10.5703125" customWidth="1"/>
    <col min="14341" max="14341" width="11.85546875" customWidth="1"/>
    <col min="14342" max="14342" width="12.28515625" customWidth="1"/>
    <col min="14343" max="14343" width="11.28515625" customWidth="1"/>
    <col min="14344" max="14344" width="11.140625" customWidth="1"/>
    <col min="14345" max="14345" width="11.85546875" customWidth="1"/>
    <col min="14346" max="14346" width="10.28515625" bestFit="1" customWidth="1"/>
    <col min="14347" max="14347" width="11.42578125" customWidth="1"/>
    <col min="14580" max="14580" width="30.85546875" customWidth="1"/>
    <col min="14581" max="14581" width="12.85546875" customWidth="1"/>
    <col min="14582" max="14582" width="13.140625" customWidth="1"/>
    <col min="14583" max="14583" width="14.28515625" customWidth="1"/>
    <col min="14584" max="14584" width="16" customWidth="1"/>
    <col min="14585" max="14585" width="15.5703125" customWidth="1"/>
    <col min="14586" max="14588" width="14.28515625" customWidth="1"/>
    <col min="14589" max="14589" width="13.85546875" customWidth="1"/>
    <col min="14590" max="14590" width="14.28515625" customWidth="1"/>
    <col min="14591" max="14591" width="12" customWidth="1"/>
    <col min="14592" max="14592" width="13" customWidth="1"/>
    <col min="14594" max="14594" width="11.28515625" customWidth="1"/>
    <col min="14595" max="14595" width="12" customWidth="1"/>
    <col min="14596" max="14596" width="10.5703125" customWidth="1"/>
    <col min="14597" max="14597" width="11.85546875" customWidth="1"/>
    <col min="14598" max="14598" width="12.28515625" customWidth="1"/>
    <col min="14599" max="14599" width="11.28515625" customWidth="1"/>
    <col min="14600" max="14600" width="11.140625" customWidth="1"/>
    <col min="14601" max="14601" width="11.85546875" customWidth="1"/>
    <col min="14602" max="14602" width="10.28515625" bestFit="1" customWidth="1"/>
    <col min="14603" max="14603" width="11.42578125" customWidth="1"/>
    <col min="14836" max="14836" width="30.85546875" customWidth="1"/>
    <col min="14837" max="14837" width="12.85546875" customWidth="1"/>
    <col min="14838" max="14838" width="13.140625" customWidth="1"/>
    <col min="14839" max="14839" width="14.28515625" customWidth="1"/>
    <col min="14840" max="14840" width="16" customWidth="1"/>
    <col min="14841" max="14841" width="15.5703125" customWidth="1"/>
    <col min="14842" max="14844" width="14.28515625" customWidth="1"/>
    <col min="14845" max="14845" width="13.85546875" customWidth="1"/>
    <col min="14846" max="14846" width="14.28515625" customWidth="1"/>
    <col min="14847" max="14847" width="12" customWidth="1"/>
    <col min="14848" max="14848" width="13" customWidth="1"/>
    <col min="14850" max="14850" width="11.28515625" customWidth="1"/>
    <col min="14851" max="14851" width="12" customWidth="1"/>
    <col min="14852" max="14852" width="10.5703125" customWidth="1"/>
    <col min="14853" max="14853" width="11.85546875" customWidth="1"/>
    <col min="14854" max="14854" width="12.28515625" customWidth="1"/>
    <col min="14855" max="14855" width="11.28515625" customWidth="1"/>
    <col min="14856" max="14856" width="11.140625" customWidth="1"/>
    <col min="14857" max="14857" width="11.85546875" customWidth="1"/>
    <col min="14858" max="14858" width="10.28515625" bestFit="1" customWidth="1"/>
    <col min="14859" max="14859" width="11.42578125" customWidth="1"/>
    <col min="15092" max="15092" width="30.85546875" customWidth="1"/>
    <col min="15093" max="15093" width="12.85546875" customWidth="1"/>
    <col min="15094" max="15094" width="13.140625" customWidth="1"/>
    <col min="15095" max="15095" width="14.28515625" customWidth="1"/>
    <col min="15096" max="15096" width="16" customWidth="1"/>
    <col min="15097" max="15097" width="15.5703125" customWidth="1"/>
    <col min="15098" max="15100" width="14.28515625" customWidth="1"/>
    <col min="15101" max="15101" width="13.85546875" customWidth="1"/>
    <col min="15102" max="15102" width="14.28515625" customWidth="1"/>
    <col min="15103" max="15103" width="12" customWidth="1"/>
    <col min="15104" max="15104" width="13" customWidth="1"/>
    <col min="15106" max="15106" width="11.28515625" customWidth="1"/>
    <col min="15107" max="15107" width="12" customWidth="1"/>
    <col min="15108" max="15108" width="10.5703125" customWidth="1"/>
    <col min="15109" max="15109" width="11.85546875" customWidth="1"/>
    <col min="15110" max="15110" width="12.28515625" customWidth="1"/>
    <col min="15111" max="15111" width="11.28515625" customWidth="1"/>
    <col min="15112" max="15112" width="11.140625" customWidth="1"/>
    <col min="15113" max="15113" width="11.85546875" customWidth="1"/>
    <col min="15114" max="15114" width="10.28515625" bestFit="1" customWidth="1"/>
    <col min="15115" max="15115" width="11.42578125" customWidth="1"/>
    <col min="15348" max="15348" width="30.85546875" customWidth="1"/>
    <col min="15349" max="15349" width="12.85546875" customWidth="1"/>
    <col min="15350" max="15350" width="13.140625" customWidth="1"/>
    <col min="15351" max="15351" width="14.28515625" customWidth="1"/>
    <col min="15352" max="15352" width="16" customWidth="1"/>
    <col min="15353" max="15353" width="15.5703125" customWidth="1"/>
    <col min="15354" max="15356" width="14.28515625" customWidth="1"/>
    <col min="15357" max="15357" width="13.85546875" customWidth="1"/>
    <col min="15358" max="15358" width="14.28515625" customWidth="1"/>
    <col min="15359" max="15359" width="12" customWidth="1"/>
    <col min="15360" max="15360" width="13" customWidth="1"/>
    <col min="15362" max="15362" width="11.28515625" customWidth="1"/>
    <col min="15363" max="15363" width="12" customWidth="1"/>
    <col min="15364" max="15364" width="10.5703125" customWidth="1"/>
    <col min="15365" max="15365" width="11.85546875" customWidth="1"/>
    <col min="15366" max="15366" width="12.28515625" customWidth="1"/>
    <col min="15367" max="15367" width="11.28515625" customWidth="1"/>
    <col min="15368" max="15368" width="11.140625" customWidth="1"/>
    <col min="15369" max="15369" width="11.85546875" customWidth="1"/>
    <col min="15370" max="15370" width="10.28515625" bestFit="1" customWidth="1"/>
    <col min="15371" max="15371" width="11.42578125" customWidth="1"/>
    <col min="15604" max="15604" width="30.85546875" customWidth="1"/>
    <col min="15605" max="15605" width="12.85546875" customWidth="1"/>
    <col min="15606" max="15606" width="13.140625" customWidth="1"/>
    <col min="15607" max="15607" width="14.28515625" customWidth="1"/>
    <col min="15608" max="15608" width="16" customWidth="1"/>
    <col min="15609" max="15609" width="15.5703125" customWidth="1"/>
    <col min="15610" max="15612" width="14.28515625" customWidth="1"/>
    <col min="15613" max="15613" width="13.85546875" customWidth="1"/>
    <col min="15614" max="15614" width="14.28515625" customWidth="1"/>
    <col min="15615" max="15615" width="12" customWidth="1"/>
    <col min="15616" max="15616" width="13" customWidth="1"/>
    <col min="15618" max="15618" width="11.28515625" customWidth="1"/>
    <col min="15619" max="15619" width="12" customWidth="1"/>
    <col min="15620" max="15620" width="10.5703125" customWidth="1"/>
    <col min="15621" max="15621" width="11.85546875" customWidth="1"/>
    <col min="15622" max="15622" width="12.28515625" customWidth="1"/>
    <col min="15623" max="15623" width="11.28515625" customWidth="1"/>
    <col min="15624" max="15624" width="11.140625" customWidth="1"/>
    <col min="15625" max="15625" width="11.85546875" customWidth="1"/>
    <col min="15626" max="15626" width="10.28515625" bestFit="1" customWidth="1"/>
    <col min="15627" max="15627" width="11.42578125" customWidth="1"/>
    <col min="15860" max="15860" width="30.85546875" customWidth="1"/>
    <col min="15861" max="15861" width="12.85546875" customWidth="1"/>
    <col min="15862" max="15862" width="13.140625" customWidth="1"/>
    <col min="15863" max="15863" width="14.28515625" customWidth="1"/>
    <col min="15864" max="15864" width="16" customWidth="1"/>
    <col min="15865" max="15865" width="15.5703125" customWidth="1"/>
    <col min="15866" max="15868" width="14.28515625" customWidth="1"/>
    <col min="15869" max="15869" width="13.85546875" customWidth="1"/>
    <col min="15870" max="15870" width="14.28515625" customWidth="1"/>
    <col min="15871" max="15871" width="12" customWidth="1"/>
    <col min="15872" max="15872" width="13" customWidth="1"/>
    <col min="15874" max="15874" width="11.28515625" customWidth="1"/>
    <col min="15875" max="15875" width="12" customWidth="1"/>
    <col min="15876" max="15876" width="10.5703125" customWidth="1"/>
    <col min="15877" max="15877" width="11.85546875" customWidth="1"/>
    <col min="15878" max="15878" width="12.28515625" customWidth="1"/>
    <col min="15879" max="15879" width="11.28515625" customWidth="1"/>
    <col min="15880" max="15880" width="11.140625" customWidth="1"/>
    <col min="15881" max="15881" width="11.85546875" customWidth="1"/>
    <col min="15882" max="15882" width="10.28515625" bestFit="1" customWidth="1"/>
    <col min="15883" max="15883" width="11.42578125" customWidth="1"/>
    <col min="16116" max="16116" width="30.85546875" customWidth="1"/>
    <col min="16117" max="16117" width="12.85546875" customWidth="1"/>
    <col min="16118" max="16118" width="13.140625" customWidth="1"/>
    <col min="16119" max="16119" width="14.28515625" customWidth="1"/>
    <col min="16120" max="16120" width="16" customWidth="1"/>
    <col min="16121" max="16121" width="15.5703125" customWidth="1"/>
    <col min="16122" max="16124" width="14.28515625" customWidth="1"/>
    <col min="16125" max="16125" width="13.85546875" customWidth="1"/>
    <col min="16126" max="16126" width="14.28515625" customWidth="1"/>
    <col min="16127" max="16127" width="12" customWidth="1"/>
    <col min="16128" max="16128" width="13" customWidth="1"/>
    <col min="16130" max="16130" width="11.28515625" customWidth="1"/>
    <col min="16131" max="16131" width="12" customWidth="1"/>
    <col min="16132" max="16132" width="10.5703125" customWidth="1"/>
    <col min="16133" max="16133" width="11.85546875" customWidth="1"/>
    <col min="16134" max="16134" width="12.28515625" customWidth="1"/>
    <col min="16135" max="16135" width="11.28515625" customWidth="1"/>
    <col min="16136" max="16136" width="11.140625" customWidth="1"/>
    <col min="16137" max="16137" width="11.85546875" customWidth="1"/>
    <col min="16138" max="16138" width="10.28515625" bestFit="1" customWidth="1"/>
    <col min="16139" max="16139" width="11.42578125" customWidth="1"/>
  </cols>
  <sheetData>
    <row r="1" spans="1:11" ht="18" customHeight="1">
      <c r="A1" s="180" t="s">
        <v>323</v>
      </c>
      <c r="B1" s="180"/>
    </row>
    <row r="2" spans="1:11" ht="18" customHeight="1">
      <c r="A2" s="180" t="s">
        <v>324</v>
      </c>
      <c r="B2" s="180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 t="s">
        <v>322</v>
      </c>
    </row>
    <row r="4" spans="1:11" ht="27" customHeight="1">
      <c r="A4" s="181" t="s">
        <v>0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1" ht="22.5" customHeight="1" thickBot="1">
      <c r="A5" s="4"/>
      <c r="B5" s="182" t="str">
        <f>'[1]51'!B5:K5</f>
        <v>la data de  31.12.2025</v>
      </c>
      <c r="C5" s="182"/>
      <c r="D5" s="182"/>
      <c r="E5" s="182"/>
      <c r="F5" s="182"/>
      <c r="G5" s="182"/>
      <c r="H5" s="182"/>
      <c r="I5" s="5"/>
      <c r="J5" s="5"/>
      <c r="K5" s="5"/>
    </row>
    <row r="6" spans="1:11" ht="12.75" hidden="1" customHeight="1" thickBot="1">
      <c r="A6" s="6"/>
      <c r="B6" s="7" t="s">
        <v>1</v>
      </c>
      <c r="C6" s="8">
        <f>C11-C7</f>
        <v>0</v>
      </c>
      <c r="D6" s="8">
        <f t="shared" ref="D6:J6" si="0">D11-D7</f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  <c r="H6" s="8">
        <f t="shared" si="0"/>
        <v>0</v>
      </c>
      <c r="I6" s="8">
        <f t="shared" si="0"/>
        <v>0</v>
      </c>
      <c r="J6" s="8">
        <f t="shared" si="0"/>
        <v>0</v>
      </c>
      <c r="K6" s="7"/>
    </row>
    <row r="7" spans="1:11" ht="13.5" hidden="1" thickBot="1">
      <c r="A7" s="10" t="s">
        <v>2</v>
      </c>
      <c r="B7" s="11"/>
      <c r="C7" s="11">
        <f>'[1]13+verif'!C10</f>
        <v>290842975</v>
      </c>
      <c r="D7" s="11">
        <f>'[1]13+verif'!D10</f>
        <v>282470887</v>
      </c>
      <c r="E7" s="11">
        <f>'[1]13+verif'!E10</f>
        <v>637276567</v>
      </c>
      <c r="F7" s="11">
        <f>'[1]13+verif'!F10</f>
        <v>658773537</v>
      </c>
      <c r="G7" s="11">
        <f>'[1]13+verif'!G10</f>
        <v>591350370</v>
      </c>
      <c r="H7" s="11">
        <f>'[1]13+verif'!H10</f>
        <v>591350370</v>
      </c>
      <c r="I7" s="11">
        <f>'[1]13+verif'!I10</f>
        <v>591350370</v>
      </c>
      <c r="J7" s="11">
        <f>'[1]13+verif'!J10</f>
        <v>0</v>
      </c>
      <c r="K7" s="11">
        <f>'[1]13+verif'!K10</f>
        <v>419553425</v>
      </c>
    </row>
    <row r="8" spans="1:11" ht="30.75" customHeight="1">
      <c r="A8" s="183" t="s">
        <v>3</v>
      </c>
      <c r="B8" s="191" t="s">
        <v>4</v>
      </c>
      <c r="C8" s="187" t="str">
        <f>'[1]51'!D8</f>
        <v>Credite de angajament initiale</v>
      </c>
      <c r="D8" s="187" t="str">
        <f>'[1]51'!E8</f>
        <v>Credite de angajament  finale</v>
      </c>
      <c r="E8" s="187" t="str">
        <f>'[1]51'!F8</f>
        <v xml:space="preserve">Credite  bugetare  initiale </v>
      </c>
      <c r="F8" s="187" t="str">
        <f>'[1]51'!G8</f>
        <v>Credite bugetare finale</v>
      </c>
      <c r="G8" s="187" t="str">
        <f>'[1]51'!H8</f>
        <v>Angajamente 
bugetare</v>
      </c>
      <c r="H8" s="187" t="str">
        <f>'[1]51'!I8</f>
        <v>Angajamente 
legale</v>
      </c>
      <c r="I8" s="187" t="str">
        <f>'[1]51'!J8</f>
        <v>Plati 
efectuate</v>
      </c>
      <c r="J8" s="189" t="str">
        <f>'[1]51'!K8</f>
        <v>Angajamente 
legale de platit</v>
      </c>
      <c r="K8" s="187" t="str">
        <f>'[1]51'!L8</f>
        <v>Cheltuieli efective</v>
      </c>
    </row>
    <row r="9" spans="1:11" ht="42.75" customHeight="1" thickBot="1">
      <c r="A9" s="184"/>
      <c r="B9" s="192"/>
      <c r="C9" s="188"/>
      <c r="D9" s="188"/>
      <c r="E9" s="188"/>
      <c r="F9" s="188"/>
      <c r="G9" s="188"/>
      <c r="H9" s="188"/>
      <c r="I9" s="188"/>
      <c r="J9" s="190"/>
      <c r="K9" s="188"/>
    </row>
    <row r="10" spans="1:11" ht="15">
      <c r="A10" s="24" t="s">
        <v>5</v>
      </c>
      <c r="B10" s="25" t="s">
        <v>6</v>
      </c>
      <c r="C10" s="25">
        <v>1</v>
      </c>
      <c r="D10" s="25">
        <v>2</v>
      </c>
      <c r="E10" s="26">
        <v>3</v>
      </c>
      <c r="F10" s="26">
        <v>4</v>
      </c>
      <c r="G10" s="25">
        <v>5</v>
      </c>
      <c r="H10" s="25">
        <v>6</v>
      </c>
      <c r="I10" s="25">
        <v>7</v>
      </c>
      <c r="J10" s="27">
        <v>8</v>
      </c>
      <c r="K10" s="28">
        <v>9</v>
      </c>
    </row>
    <row r="11" spans="1:11" ht="38.25">
      <c r="A11" s="22" t="s">
        <v>7</v>
      </c>
      <c r="B11" s="144" t="s">
        <v>8</v>
      </c>
      <c r="C11" s="29">
        <f>C12+C28+C36+C92+C110+C140</f>
        <v>290842975</v>
      </c>
      <c r="D11" s="30">
        <f>D12+D28+D36+D92+D110+D140</f>
        <v>282470887</v>
      </c>
      <c r="E11" s="29">
        <f>E12+E28+E36+E92+E110+E140</f>
        <v>637276567</v>
      </c>
      <c r="F11" s="29">
        <f t="shared" ref="F11:K11" si="1">F12+F28+F36+F92+F110+F140</f>
        <v>658773537</v>
      </c>
      <c r="G11" s="29">
        <f t="shared" si="1"/>
        <v>591350370</v>
      </c>
      <c r="H11" s="29">
        <f t="shared" si="1"/>
        <v>591350370</v>
      </c>
      <c r="I11" s="29">
        <f>I12+I28+I36+I92+I110+I140</f>
        <v>591350370</v>
      </c>
      <c r="J11" s="30">
        <f t="shared" si="1"/>
        <v>0</v>
      </c>
      <c r="K11" s="31">
        <f t="shared" si="1"/>
        <v>419553425</v>
      </c>
    </row>
    <row r="12" spans="1:11" ht="45">
      <c r="A12" s="32" t="s">
        <v>9</v>
      </c>
      <c r="B12" s="145" t="s">
        <v>10</v>
      </c>
      <c r="C12" s="34">
        <f>C13+C16+C22+C23</f>
        <v>170000</v>
      </c>
      <c r="D12" s="34">
        <f>D13+D16+D22+D23</f>
        <v>253800</v>
      </c>
      <c r="E12" s="34">
        <f t="shared" ref="E12:J12" si="2">E13+E16+E22+E23</f>
        <v>59120255</v>
      </c>
      <c r="F12" s="34">
        <f t="shared" si="2"/>
        <v>58927532</v>
      </c>
      <c r="G12" s="34">
        <f t="shared" si="2"/>
        <v>58669481</v>
      </c>
      <c r="H12" s="34">
        <f t="shared" si="2"/>
        <v>58669481</v>
      </c>
      <c r="I12" s="34">
        <f t="shared" si="2"/>
        <v>58669481</v>
      </c>
      <c r="J12" s="34">
        <f t="shared" si="2"/>
        <v>0</v>
      </c>
      <c r="K12" s="35">
        <f>K13+K16+K22+K23</f>
        <v>59481063</v>
      </c>
    </row>
    <row r="13" spans="1:11" ht="30">
      <c r="A13" s="36" t="s">
        <v>11</v>
      </c>
      <c r="B13" s="146" t="s">
        <v>12</v>
      </c>
      <c r="C13" s="38">
        <f>C14</f>
        <v>170000</v>
      </c>
      <c r="D13" s="38">
        <f>D14</f>
        <v>253800</v>
      </c>
      <c r="E13" s="38">
        <f t="shared" ref="E13:K14" si="3">E14</f>
        <v>47549255</v>
      </c>
      <c r="F13" s="38">
        <f t="shared" si="3"/>
        <v>46630497</v>
      </c>
      <c r="G13" s="38">
        <f t="shared" si="3"/>
        <v>46401694</v>
      </c>
      <c r="H13" s="38">
        <f t="shared" si="3"/>
        <v>46401694</v>
      </c>
      <c r="I13" s="38">
        <f t="shared" si="3"/>
        <v>46401694</v>
      </c>
      <c r="J13" s="38">
        <f t="shared" si="3"/>
        <v>0</v>
      </c>
      <c r="K13" s="39">
        <f t="shared" si="3"/>
        <v>47238928</v>
      </c>
    </row>
    <row r="14" spans="1:11" ht="28.5">
      <c r="A14" s="40" t="s">
        <v>13</v>
      </c>
      <c r="B14" s="147" t="s">
        <v>14</v>
      </c>
      <c r="C14" s="42">
        <f>C15</f>
        <v>170000</v>
      </c>
      <c r="D14" s="42">
        <f>D15</f>
        <v>253800</v>
      </c>
      <c r="E14" s="42">
        <f t="shared" si="3"/>
        <v>47549255</v>
      </c>
      <c r="F14" s="42">
        <f t="shared" si="3"/>
        <v>46630497</v>
      </c>
      <c r="G14" s="42">
        <f t="shared" si="3"/>
        <v>46401694</v>
      </c>
      <c r="H14" s="42">
        <f t="shared" si="3"/>
        <v>46401694</v>
      </c>
      <c r="I14" s="42">
        <f t="shared" si="3"/>
        <v>46401694</v>
      </c>
      <c r="J14" s="42">
        <f t="shared" si="3"/>
        <v>0</v>
      </c>
      <c r="K14" s="43">
        <f t="shared" si="3"/>
        <v>47238928</v>
      </c>
    </row>
    <row r="15" spans="1:11" ht="27.75" customHeight="1">
      <c r="A15" s="44" t="s">
        <v>15</v>
      </c>
      <c r="B15" s="148" t="s">
        <v>16</v>
      </c>
      <c r="C15" s="46">
        <f>C147+C275</f>
        <v>170000</v>
      </c>
      <c r="D15" s="46">
        <f>D147+D275</f>
        <v>253800</v>
      </c>
      <c r="E15" s="46">
        <f t="shared" ref="E15:K15" si="4">E147+E275</f>
        <v>47549255</v>
      </c>
      <c r="F15" s="46">
        <f t="shared" si="4"/>
        <v>46630497</v>
      </c>
      <c r="G15" s="46">
        <f t="shared" si="4"/>
        <v>46401694</v>
      </c>
      <c r="H15" s="46">
        <f>G15</f>
        <v>46401694</v>
      </c>
      <c r="I15" s="46">
        <f>I147+I275</f>
        <v>46401694</v>
      </c>
      <c r="J15" s="46">
        <f t="shared" si="4"/>
        <v>0</v>
      </c>
      <c r="K15" s="47">
        <f t="shared" si="4"/>
        <v>47238928</v>
      </c>
    </row>
    <row r="16" spans="1:11" ht="47.25" customHeight="1">
      <c r="A16" s="36" t="s">
        <v>17</v>
      </c>
      <c r="B16" s="146" t="s">
        <v>18</v>
      </c>
      <c r="C16" s="38">
        <f t="shared" ref="C16:K16" si="5">C17+C18+C19+C20+C21</f>
        <v>0</v>
      </c>
      <c r="D16" s="38">
        <f t="shared" si="5"/>
        <v>0</v>
      </c>
      <c r="E16" s="38">
        <f t="shared" si="5"/>
        <v>4061000</v>
      </c>
      <c r="F16" s="38">
        <f t="shared" si="5"/>
        <v>3930000</v>
      </c>
      <c r="G16" s="38">
        <f t="shared" si="5"/>
        <v>3902171</v>
      </c>
      <c r="H16" s="38">
        <f t="shared" si="5"/>
        <v>3902171</v>
      </c>
      <c r="I16" s="38">
        <f t="shared" si="5"/>
        <v>3902171</v>
      </c>
      <c r="J16" s="38">
        <f t="shared" si="5"/>
        <v>0</v>
      </c>
      <c r="K16" s="39">
        <f t="shared" si="5"/>
        <v>3876519</v>
      </c>
    </row>
    <row r="17" spans="1:11" ht="28.5">
      <c r="A17" s="44" t="s">
        <v>19</v>
      </c>
      <c r="B17" s="148" t="s">
        <v>20</v>
      </c>
      <c r="C17" s="46">
        <f t="shared" ref="C17:K21" si="6">C149+C277</f>
        <v>0</v>
      </c>
      <c r="D17" s="46">
        <f t="shared" si="6"/>
        <v>0</v>
      </c>
      <c r="E17" s="48">
        <f t="shared" si="6"/>
        <v>10000</v>
      </c>
      <c r="F17" s="46">
        <f t="shared" si="6"/>
        <v>10000</v>
      </c>
      <c r="G17" s="46">
        <f t="shared" si="6"/>
        <v>0</v>
      </c>
      <c r="H17" s="46">
        <f t="shared" si="6"/>
        <v>0</v>
      </c>
      <c r="I17" s="46">
        <f t="shared" si="6"/>
        <v>0</v>
      </c>
      <c r="J17" s="46">
        <f t="shared" si="6"/>
        <v>0</v>
      </c>
      <c r="K17" s="47">
        <f t="shared" si="6"/>
        <v>0</v>
      </c>
    </row>
    <row r="18" spans="1:11" ht="33" hidden="1" customHeight="1">
      <c r="A18" s="44" t="s">
        <v>21</v>
      </c>
      <c r="B18" s="148" t="s">
        <v>22</v>
      </c>
      <c r="C18" s="46">
        <f t="shared" si="6"/>
        <v>0</v>
      </c>
      <c r="D18" s="46">
        <f t="shared" si="6"/>
        <v>0</v>
      </c>
      <c r="E18" s="46">
        <f t="shared" si="6"/>
        <v>0</v>
      </c>
      <c r="F18" s="46">
        <f t="shared" si="6"/>
        <v>0</v>
      </c>
      <c r="G18" s="46">
        <f t="shared" si="6"/>
        <v>0</v>
      </c>
      <c r="H18" s="46">
        <f t="shared" si="6"/>
        <v>0</v>
      </c>
      <c r="I18" s="46">
        <f t="shared" si="6"/>
        <v>0</v>
      </c>
      <c r="J18" s="46">
        <f t="shared" si="6"/>
        <v>0</v>
      </c>
      <c r="K18" s="47">
        <f t="shared" si="6"/>
        <v>0</v>
      </c>
    </row>
    <row r="19" spans="1:11" ht="27.75" hidden="1" customHeight="1">
      <c r="A19" s="44" t="s">
        <v>23</v>
      </c>
      <c r="B19" s="148" t="s">
        <v>24</v>
      </c>
      <c r="C19" s="46">
        <f t="shared" si="6"/>
        <v>0</v>
      </c>
      <c r="D19" s="46">
        <f t="shared" si="6"/>
        <v>0</v>
      </c>
      <c r="E19" s="46">
        <f t="shared" si="6"/>
        <v>0</v>
      </c>
      <c r="F19" s="46">
        <f t="shared" si="6"/>
        <v>0</v>
      </c>
      <c r="G19" s="46">
        <f t="shared" si="6"/>
        <v>0</v>
      </c>
      <c r="H19" s="46">
        <f t="shared" si="6"/>
        <v>0</v>
      </c>
      <c r="I19" s="46">
        <f t="shared" si="6"/>
        <v>0</v>
      </c>
      <c r="J19" s="46">
        <f t="shared" si="6"/>
        <v>0</v>
      </c>
      <c r="K19" s="47">
        <f t="shared" si="6"/>
        <v>0</v>
      </c>
    </row>
    <row r="20" spans="1:11" ht="28.5">
      <c r="A20" s="44" t="s">
        <v>25</v>
      </c>
      <c r="B20" s="148" t="s">
        <v>26</v>
      </c>
      <c r="C20" s="46">
        <f t="shared" si="6"/>
        <v>0</v>
      </c>
      <c r="D20" s="46">
        <f t="shared" si="6"/>
        <v>0</v>
      </c>
      <c r="E20" s="46">
        <f t="shared" si="6"/>
        <v>3851000</v>
      </c>
      <c r="F20" s="46">
        <f t="shared" si="6"/>
        <v>3700000</v>
      </c>
      <c r="G20" s="46">
        <f t="shared" si="6"/>
        <v>3682913</v>
      </c>
      <c r="H20" s="46">
        <f>G20</f>
        <v>3682913</v>
      </c>
      <c r="I20" s="46">
        <f t="shared" si="6"/>
        <v>3682913</v>
      </c>
      <c r="J20" s="46">
        <f t="shared" si="6"/>
        <v>0</v>
      </c>
      <c r="K20" s="47">
        <f t="shared" si="6"/>
        <v>3657261</v>
      </c>
    </row>
    <row r="21" spans="1:11" ht="28.5" customHeight="1">
      <c r="A21" s="44" t="s">
        <v>27</v>
      </c>
      <c r="B21" s="148" t="s">
        <v>28</v>
      </c>
      <c r="C21" s="46">
        <f t="shared" si="6"/>
        <v>0</v>
      </c>
      <c r="D21" s="46">
        <f t="shared" si="6"/>
        <v>0</v>
      </c>
      <c r="E21" s="46">
        <f t="shared" si="6"/>
        <v>200000</v>
      </c>
      <c r="F21" s="46">
        <f t="shared" si="6"/>
        <v>220000</v>
      </c>
      <c r="G21" s="46">
        <f t="shared" si="6"/>
        <v>219258</v>
      </c>
      <c r="H21" s="46">
        <f>H153+H281</f>
        <v>219258</v>
      </c>
      <c r="I21" s="46">
        <f t="shared" si="6"/>
        <v>219258</v>
      </c>
      <c r="J21" s="46">
        <f t="shared" si="6"/>
        <v>0</v>
      </c>
      <c r="K21" s="47">
        <f t="shared" si="6"/>
        <v>219258</v>
      </c>
    </row>
    <row r="22" spans="1:11" ht="30">
      <c r="A22" s="36" t="s">
        <v>29</v>
      </c>
      <c r="B22" s="146" t="s">
        <v>30</v>
      </c>
      <c r="C22" s="38">
        <f>C154</f>
        <v>0</v>
      </c>
      <c r="D22" s="38">
        <f>D154</f>
        <v>0</v>
      </c>
      <c r="E22" s="38">
        <f t="shared" ref="E22:K22" si="7">E154</f>
        <v>7510000</v>
      </c>
      <c r="F22" s="38">
        <f t="shared" si="7"/>
        <v>8367035</v>
      </c>
      <c r="G22" s="38">
        <f t="shared" si="7"/>
        <v>8365616</v>
      </c>
      <c r="H22" s="38">
        <f t="shared" si="7"/>
        <v>8365616</v>
      </c>
      <c r="I22" s="38">
        <f t="shared" si="7"/>
        <v>8365616</v>
      </c>
      <c r="J22" s="38">
        <f t="shared" si="7"/>
        <v>0</v>
      </c>
      <c r="K22" s="38">
        <f t="shared" si="7"/>
        <v>8365616</v>
      </c>
    </row>
    <row r="23" spans="1:11" ht="29.25" hidden="1" customHeight="1">
      <c r="A23" s="36" t="s">
        <v>31</v>
      </c>
      <c r="B23" s="146" t="s">
        <v>32</v>
      </c>
      <c r="C23" s="38">
        <f>C25+C26+C27</f>
        <v>0</v>
      </c>
      <c r="D23" s="38">
        <f>D25+D26+D27</f>
        <v>0</v>
      </c>
      <c r="E23" s="38">
        <f t="shared" ref="E23:K23" si="8">E25+E26+E27</f>
        <v>0</v>
      </c>
      <c r="F23" s="38">
        <f t="shared" si="8"/>
        <v>0</v>
      </c>
      <c r="G23" s="38">
        <f t="shared" si="8"/>
        <v>0</v>
      </c>
      <c r="H23" s="38">
        <f t="shared" si="8"/>
        <v>0</v>
      </c>
      <c r="I23" s="38">
        <f t="shared" si="8"/>
        <v>0</v>
      </c>
      <c r="J23" s="38">
        <f t="shared" si="8"/>
        <v>0</v>
      </c>
      <c r="K23" s="39">
        <f t="shared" si="8"/>
        <v>0</v>
      </c>
    </row>
    <row r="24" spans="1:11" ht="22.5" hidden="1" customHeight="1">
      <c r="A24" s="44" t="s">
        <v>33</v>
      </c>
      <c r="B24" s="148" t="s">
        <v>34</v>
      </c>
      <c r="C24" s="49"/>
      <c r="D24" s="49"/>
      <c r="E24" s="50"/>
      <c r="F24" s="51"/>
      <c r="G24" s="52"/>
      <c r="H24" s="52"/>
      <c r="I24" s="52"/>
      <c r="J24" s="138"/>
      <c r="K24" s="54"/>
    </row>
    <row r="25" spans="1:11" ht="21" hidden="1" customHeight="1">
      <c r="A25" s="44" t="s">
        <v>35</v>
      </c>
      <c r="B25" s="148" t="s">
        <v>34</v>
      </c>
      <c r="C25" s="46">
        <f>C156</f>
        <v>0</v>
      </c>
      <c r="D25" s="46">
        <f>D156</f>
        <v>0</v>
      </c>
      <c r="E25" s="46">
        <f t="shared" ref="E25:K25" si="9">E156</f>
        <v>0</v>
      </c>
      <c r="F25" s="46">
        <f t="shared" si="9"/>
        <v>0</v>
      </c>
      <c r="G25" s="46">
        <f t="shared" si="9"/>
        <v>0</v>
      </c>
      <c r="H25" s="46">
        <f t="shared" si="9"/>
        <v>0</v>
      </c>
      <c r="I25" s="46">
        <f t="shared" si="9"/>
        <v>0</v>
      </c>
      <c r="J25" s="46">
        <f t="shared" si="9"/>
        <v>0</v>
      </c>
      <c r="K25" s="47">
        <f t="shared" si="9"/>
        <v>0</v>
      </c>
    </row>
    <row r="26" spans="1:11" ht="30" hidden="1" customHeight="1">
      <c r="A26" s="44" t="s">
        <v>36</v>
      </c>
      <c r="B26" s="148" t="s">
        <v>37</v>
      </c>
      <c r="C26" s="46">
        <f>C157</f>
        <v>0</v>
      </c>
      <c r="D26" s="46">
        <f t="shared" ref="D26:K27" si="10">D157</f>
        <v>0</v>
      </c>
      <c r="E26" s="46">
        <f t="shared" si="10"/>
        <v>0</v>
      </c>
      <c r="F26" s="46">
        <f t="shared" si="10"/>
        <v>0</v>
      </c>
      <c r="G26" s="46">
        <f t="shared" si="10"/>
        <v>0</v>
      </c>
      <c r="H26" s="46">
        <f t="shared" si="10"/>
        <v>0</v>
      </c>
      <c r="I26" s="46">
        <f t="shared" si="10"/>
        <v>0</v>
      </c>
      <c r="J26" s="46">
        <f t="shared" si="10"/>
        <v>0</v>
      </c>
      <c r="K26" s="47">
        <f t="shared" si="10"/>
        <v>0</v>
      </c>
    </row>
    <row r="27" spans="1:11" ht="18" hidden="1" customHeight="1">
      <c r="A27" s="44" t="s">
        <v>38</v>
      </c>
      <c r="B27" s="149" t="s">
        <v>39</v>
      </c>
      <c r="C27" s="46">
        <f>C158</f>
        <v>0</v>
      </c>
      <c r="D27" s="46">
        <f t="shared" si="10"/>
        <v>0</v>
      </c>
      <c r="E27" s="46">
        <f t="shared" si="10"/>
        <v>0</v>
      </c>
      <c r="F27" s="46">
        <f t="shared" si="10"/>
        <v>0</v>
      </c>
      <c r="G27" s="46">
        <f t="shared" si="10"/>
        <v>0</v>
      </c>
      <c r="H27" s="46">
        <f t="shared" si="10"/>
        <v>0</v>
      </c>
      <c r="I27" s="46">
        <f t="shared" si="10"/>
        <v>0</v>
      </c>
      <c r="J27" s="46">
        <f t="shared" si="10"/>
        <v>0</v>
      </c>
      <c r="K27" s="47">
        <f t="shared" si="10"/>
        <v>0</v>
      </c>
    </row>
    <row r="28" spans="1:11" ht="45">
      <c r="A28" s="32" t="s">
        <v>40</v>
      </c>
      <c r="B28" s="145" t="s">
        <v>41</v>
      </c>
      <c r="C28" s="34">
        <f>C29+C31</f>
        <v>0</v>
      </c>
      <c r="D28" s="34">
        <f>D29+D31</f>
        <v>0</v>
      </c>
      <c r="E28" s="34">
        <f t="shared" ref="E28:K28" si="11">E29+E31</f>
        <v>13596282</v>
      </c>
      <c r="F28" s="34">
        <f t="shared" si="11"/>
        <v>14243107</v>
      </c>
      <c r="G28" s="34">
        <f t="shared" si="11"/>
        <v>13782306</v>
      </c>
      <c r="H28" s="34">
        <f t="shared" si="11"/>
        <v>13782306</v>
      </c>
      <c r="I28" s="34">
        <f t="shared" si="11"/>
        <v>13782306</v>
      </c>
      <c r="J28" s="34">
        <f t="shared" si="11"/>
        <v>0</v>
      </c>
      <c r="K28" s="35">
        <f t="shared" si="11"/>
        <v>14244722</v>
      </c>
    </row>
    <row r="29" spans="1:11" ht="29.25" hidden="1" customHeight="1">
      <c r="A29" s="36" t="s">
        <v>42</v>
      </c>
      <c r="B29" s="146" t="s">
        <v>43</v>
      </c>
      <c r="C29" s="38">
        <f>C30</f>
        <v>0</v>
      </c>
      <c r="D29" s="38">
        <f>D30</f>
        <v>0</v>
      </c>
      <c r="E29" s="38">
        <f t="shared" ref="E29:K29" si="12">E30</f>
        <v>0</v>
      </c>
      <c r="F29" s="38">
        <f t="shared" si="12"/>
        <v>0</v>
      </c>
      <c r="G29" s="38">
        <f t="shared" si="12"/>
        <v>0</v>
      </c>
      <c r="H29" s="38">
        <f t="shared" si="12"/>
        <v>0</v>
      </c>
      <c r="I29" s="38">
        <f t="shared" si="12"/>
        <v>0</v>
      </c>
      <c r="J29" s="38">
        <f t="shared" si="12"/>
        <v>0</v>
      </c>
      <c r="K29" s="39">
        <f t="shared" si="12"/>
        <v>0</v>
      </c>
    </row>
    <row r="30" spans="1:11" ht="27" hidden="1" customHeight="1">
      <c r="A30" s="44" t="s">
        <v>44</v>
      </c>
      <c r="B30" s="148" t="s">
        <v>45</v>
      </c>
      <c r="C30" s="46">
        <f>C161+C284</f>
        <v>0</v>
      </c>
      <c r="D30" s="46">
        <f>D161+D284</f>
        <v>0</v>
      </c>
      <c r="E30" s="46">
        <f t="shared" ref="E30:K30" si="13">E161+E284</f>
        <v>0</v>
      </c>
      <c r="F30" s="46">
        <f t="shared" si="13"/>
        <v>0</v>
      </c>
      <c r="G30" s="46">
        <f t="shared" si="13"/>
        <v>0</v>
      </c>
      <c r="H30" s="46">
        <f t="shared" si="13"/>
        <v>0</v>
      </c>
      <c r="I30" s="46">
        <f t="shared" si="13"/>
        <v>0</v>
      </c>
      <c r="J30" s="46">
        <f t="shared" si="13"/>
        <v>0</v>
      </c>
      <c r="K30" s="47">
        <f t="shared" si="13"/>
        <v>0</v>
      </c>
    </row>
    <row r="31" spans="1:11" ht="30">
      <c r="A31" s="36" t="s">
        <v>46</v>
      </c>
      <c r="B31" s="146" t="s">
        <v>47</v>
      </c>
      <c r="C31" s="38">
        <f>C32+C34+C35</f>
        <v>0</v>
      </c>
      <c r="D31" s="38">
        <f>D32+D34+D35</f>
        <v>0</v>
      </c>
      <c r="E31" s="38">
        <f>E32+E34+E35</f>
        <v>13596282</v>
      </c>
      <c r="F31" s="38">
        <f t="shared" ref="F31:K31" si="14">F32+F34+F35</f>
        <v>14243107</v>
      </c>
      <c r="G31" s="38">
        <f t="shared" si="14"/>
        <v>13782306</v>
      </c>
      <c r="H31" s="38">
        <f t="shared" si="14"/>
        <v>13782306</v>
      </c>
      <c r="I31" s="38">
        <f t="shared" si="14"/>
        <v>13782306</v>
      </c>
      <c r="J31" s="38">
        <f t="shared" si="14"/>
        <v>0</v>
      </c>
      <c r="K31" s="39">
        <f t="shared" si="14"/>
        <v>14244722</v>
      </c>
    </row>
    <row r="32" spans="1:11" ht="33.75" customHeight="1">
      <c r="A32" s="56" t="s">
        <v>48</v>
      </c>
      <c r="B32" s="147" t="s">
        <v>49</v>
      </c>
      <c r="C32" s="42">
        <f>C33</f>
        <v>0</v>
      </c>
      <c r="D32" s="42">
        <f>D33</f>
        <v>0</v>
      </c>
      <c r="E32" s="42">
        <f>E33</f>
        <v>13541282</v>
      </c>
      <c r="F32" s="42">
        <f t="shared" ref="F32:K32" si="15">F33</f>
        <v>14198107</v>
      </c>
      <c r="G32" s="42">
        <f t="shared" si="15"/>
        <v>13741484</v>
      </c>
      <c r="H32" s="42">
        <f t="shared" si="15"/>
        <v>13741484</v>
      </c>
      <c r="I32" s="42">
        <f t="shared" si="15"/>
        <v>13741484</v>
      </c>
      <c r="J32" s="42">
        <f t="shared" si="15"/>
        <v>0</v>
      </c>
      <c r="K32" s="42">
        <f t="shared" si="15"/>
        <v>14091477</v>
      </c>
    </row>
    <row r="33" spans="1:11" ht="26.25" customHeight="1">
      <c r="A33" s="44" t="s">
        <v>50</v>
      </c>
      <c r="B33" s="148" t="s">
        <v>51</v>
      </c>
      <c r="C33" s="46">
        <f t="shared" ref="C33:K35" si="16">C164+C287</f>
        <v>0</v>
      </c>
      <c r="D33" s="46">
        <f t="shared" si="16"/>
        <v>0</v>
      </c>
      <c r="E33" s="46">
        <f t="shared" si="16"/>
        <v>13541282</v>
      </c>
      <c r="F33" s="46">
        <f t="shared" si="16"/>
        <v>14198107</v>
      </c>
      <c r="G33" s="46">
        <f t="shared" si="16"/>
        <v>13741484</v>
      </c>
      <c r="H33" s="46">
        <f t="shared" si="16"/>
        <v>13741484</v>
      </c>
      <c r="I33" s="46">
        <f t="shared" si="16"/>
        <v>13741484</v>
      </c>
      <c r="J33" s="46">
        <f t="shared" si="16"/>
        <v>0</v>
      </c>
      <c r="K33" s="47">
        <f t="shared" si="16"/>
        <v>14091477</v>
      </c>
    </row>
    <row r="34" spans="1:11" ht="28.5">
      <c r="A34" s="57" t="s">
        <v>52</v>
      </c>
      <c r="B34" s="148" t="s">
        <v>53</v>
      </c>
      <c r="C34" s="46">
        <f t="shared" si="16"/>
        <v>0</v>
      </c>
      <c r="D34" s="46">
        <f t="shared" si="16"/>
        <v>0</v>
      </c>
      <c r="E34" s="46">
        <f t="shared" si="16"/>
        <v>55000</v>
      </c>
      <c r="F34" s="46">
        <f t="shared" si="16"/>
        <v>45000</v>
      </c>
      <c r="G34" s="46">
        <f t="shared" si="16"/>
        <v>40822</v>
      </c>
      <c r="H34" s="46">
        <f t="shared" si="16"/>
        <v>40822</v>
      </c>
      <c r="I34" s="46">
        <f t="shared" si="16"/>
        <v>40822</v>
      </c>
      <c r="J34" s="46">
        <f t="shared" si="16"/>
        <v>0</v>
      </c>
      <c r="K34" s="47">
        <f t="shared" si="16"/>
        <v>104648</v>
      </c>
    </row>
    <row r="35" spans="1:11" ht="28.5" hidden="1">
      <c r="A35" s="57" t="s">
        <v>54</v>
      </c>
      <c r="B35" s="148" t="s">
        <v>55</v>
      </c>
      <c r="C35" s="46">
        <f t="shared" si="16"/>
        <v>0</v>
      </c>
      <c r="D35" s="46">
        <f t="shared" si="16"/>
        <v>0</v>
      </c>
      <c r="E35" s="46">
        <f t="shared" si="16"/>
        <v>0</v>
      </c>
      <c r="F35" s="46">
        <f t="shared" si="16"/>
        <v>0</v>
      </c>
      <c r="G35" s="46">
        <f t="shared" si="16"/>
        <v>0</v>
      </c>
      <c r="H35" s="46">
        <f t="shared" si="16"/>
        <v>0</v>
      </c>
      <c r="I35" s="46">
        <f t="shared" si="16"/>
        <v>0</v>
      </c>
      <c r="J35" s="46">
        <f t="shared" si="16"/>
        <v>0</v>
      </c>
      <c r="K35" s="47">
        <f t="shared" si="16"/>
        <v>48597</v>
      </c>
    </row>
    <row r="36" spans="1:11" ht="45">
      <c r="A36" s="32" t="s">
        <v>56</v>
      </c>
      <c r="B36" s="145" t="s">
        <v>57</v>
      </c>
      <c r="C36" s="34">
        <f>C37+C53+C60+C79</f>
        <v>116045965</v>
      </c>
      <c r="D36" s="34">
        <f>D37+D53+D60+D79</f>
        <v>100301097</v>
      </c>
      <c r="E36" s="34">
        <f t="shared" ref="E36:J36" si="17">E37+E53+E60+E79</f>
        <v>273846085</v>
      </c>
      <c r="F36" s="34">
        <f t="shared" si="17"/>
        <v>283784596</v>
      </c>
      <c r="G36" s="34">
        <f t="shared" si="17"/>
        <v>250256844</v>
      </c>
      <c r="H36" s="34">
        <f t="shared" si="17"/>
        <v>250256844</v>
      </c>
      <c r="I36" s="34">
        <f t="shared" si="17"/>
        <v>250256844</v>
      </c>
      <c r="J36" s="34">
        <f t="shared" si="17"/>
        <v>0</v>
      </c>
      <c r="K36" s="35">
        <f>K37+K53+K60+K79</f>
        <v>202753761</v>
      </c>
    </row>
    <row r="37" spans="1:11" ht="50.25" customHeight="1">
      <c r="A37" s="36" t="s">
        <v>58</v>
      </c>
      <c r="B37" s="146" t="s">
        <v>59</v>
      </c>
      <c r="C37" s="38">
        <f>C38+C41+C45+C46+C48+C52+C51</f>
        <v>79434911</v>
      </c>
      <c r="D37" s="38">
        <f t="shared" ref="D37:K37" si="18">D38+D41+D45+D46+D48+D52+D51</f>
        <v>65217207</v>
      </c>
      <c r="E37" s="38">
        <f>E38+E41+E45+E46+E48+E52+E51</f>
        <v>111190852</v>
      </c>
      <c r="F37" s="38">
        <f t="shared" si="18"/>
        <v>97686196</v>
      </c>
      <c r="G37" s="38">
        <f t="shared" si="18"/>
        <v>76612466</v>
      </c>
      <c r="H37" s="38">
        <f t="shared" si="18"/>
        <v>76612466</v>
      </c>
      <c r="I37" s="38">
        <f t="shared" si="18"/>
        <v>76612466</v>
      </c>
      <c r="J37" s="38">
        <f t="shared" si="18"/>
        <v>0</v>
      </c>
      <c r="K37" s="38">
        <f t="shared" si="18"/>
        <v>44996528</v>
      </c>
    </row>
    <row r="38" spans="1:11" ht="28.5">
      <c r="A38" s="40" t="s">
        <v>60</v>
      </c>
      <c r="B38" s="147" t="s">
        <v>61</v>
      </c>
      <c r="C38" s="42">
        <f>C39+C40</f>
        <v>2862500</v>
      </c>
      <c r="D38" s="42">
        <f>D39+D40</f>
        <v>363200</v>
      </c>
      <c r="E38" s="42">
        <f t="shared" ref="E38:K38" si="19">E39+E40</f>
        <v>6768499</v>
      </c>
      <c r="F38" s="42">
        <f t="shared" si="19"/>
        <v>4579071</v>
      </c>
      <c r="G38" s="42">
        <f t="shared" si="19"/>
        <v>4466724</v>
      </c>
      <c r="H38" s="42">
        <f t="shared" si="19"/>
        <v>4466724</v>
      </c>
      <c r="I38" s="42">
        <f t="shared" si="19"/>
        <v>4466724</v>
      </c>
      <c r="J38" s="42">
        <f t="shared" si="19"/>
        <v>0</v>
      </c>
      <c r="K38" s="43">
        <f t="shared" si="19"/>
        <v>4516288</v>
      </c>
    </row>
    <row r="39" spans="1:11" ht="17.100000000000001" customHeight="1">
      <c r="A39" s="44" t="s">
        <v>62</v>
      </c>
      <c r="B39" s="148" t="s">
        <v>63</v>
      </c>
      <c r="C39" s="46">
        <f t="shared" ref="C39:K40" si="20">C170+C293</f>
        <v>2862500</v>
      </c>
      <c r="D39" s="46">
        <f t="shared" si="20"/>
        <v>363200</v>
      </c>
      <c r="E39" s="46">
        <f t="shared" si="20"/>
        <v>6093519</v>
      </c>
      <c r="F39" s="46">
        <f t="shared" si="20"/>
        <v>3894927</v>
      </c>
      <c r="G39" s="46">
        <f t="shared" si="20"/>
        <v>3800210</v>
      </c>
      <c r="H39" s="46">
        <f t="shared" si="20"/>
        <v>3800210</v>
      </c>
      <c r="I39" s="46">
        <f t="shared" si="20"/>
        <v>3800210</v>
      </c>
      <c r="J39" s="46">
        <f t="shared" si="20"/>
        <v>0</v>
      </c>
      <c r="K39" s="47">
        <f t="shared" si="20"/>
        <v>3853365</v>
      </c>
    </row>
    <row r="40" spans="1:11" ht="17.100000000000001" customHeight="1">
      <c r="A40" s="44" t="s">
        <v>64</v>
      </c>
      <c r="B40" s="148" t="s">
        <v>65</v>
      </c>
      <c r="C40" s="46">
        <f t="shared" si="20"/>
        <v>0</v>
      </c>
      <c r="D40" s="46">
        <f t="shared" si="20"/>
        <v>0</v>
      </c>
      <c r="E40" s="46">
        <f t="shared" si="20"/>
        <v>674980</v>
      </c>
      <c r="F40" s="46">
        <f t="shared" si="20"/>
        <v>684144</v>
      </c>
      <c r="G40" s="46">
        <f t="shared" si="20"/>
        <v>666514</v>
      </c>
      <c r="H40" s="46">
        <f t="shared" si="20"/>
        <v>666514</v>
      </c>
      <c r="I40" s="46">
        <f t="shared" si="20"/>
        <v>666514</v>
      </c>
      <c r="J40" s="46">
        <f t="shared" si="20"/>
        <v>0</v>
      </c>
      <c r="K40" s="47">
        <f t="shared" si="20"/>
        <v>662923</v>
      </c>
    </row>
    <row r="41" spans="1:11" ht="28.5">
      <c r="A41" s="40" t="s">
        <v>66</v>
      </c>
      <c r="B41" s="147" t="s">
        <v>67</v>
      </c>
      <c r="C41" s="42">
        <f>C42+C43+C44+C45</f>
        <v>20945051</v>
      </c>
      <c r="D41" s="42">
        <f>D42+D43+D44+D45</f>
        <v>24851962</v>
      </c>
      <c r="E41" s="42">
        <f>E42+E43+E44</f>
        <v>43467918</v>
      </c>
      <c r="F41" s="42">
        <f t="shared" ref="F41:K41" si="21">F42+F43+F44</f>
        <v>45374674</v>
      </c>
      <c r="G41" s="42">
        <f t="shared" si="21"/>
        <v>27964884</v>
      </c>
      <c r="H41" s="42">
        <f t="shared" si="21"/>
        <v>27964884</v>
      </c>
      <c r="I41" s="42">
        <f t="shared" si="21"/>
        <v>27964884</v>
      </c>
      <c r="J41" s="42">
        <f t="shared" si="21"/>
        <v>0</v>
      </c>
      <c r="K41" s="42">
        <f t="shared" si="21"/>
        <v>32040147</v>
      </c>
    </row>
    <row r="42" spans="1:11" ht="14.25">
      <c r="A42" s="158" t="s">
        <v>68</v>
      </c>
      <c r="B42" s="148" t="s">
        <v>69</v>
      </c>
      <c r="C42" s="46">
        <f t="shared" ref="C42:K45" si="22">C173+C296</f>
        <v>12114440</v>
      </c>
      <c r="D42" s="46">
        <f t="shared" si="22"/>
        <v>16217862</v>
      </c>
      <c r="E42" s="46">
        <f>E173+E296</f>
        <v>18006737</v>
      </c>
      <c r="F42" s="46">
        <f t="shared" ref="F42:K42" si="23">F173+F296</f>
        <v>22566153</v>
      </c>
      <c r="G42" s="46">
        <f t="shared" si="23"/>
        <v>12313278</v>
      </c>
      <c r="H42" s="46">
        <f t="shared" si="23"/>
        <v>12313278</v>
      </c>
      <c r="I42" s="46">
        <f t="shared" si="23"/>
        <v>12313278</v>
      </c>
      <c r="J42" s="46">
        <f t="shared" si="23"/>
        <v>0</v>
      </c>
      <c r="K42" s="47">
        <f t="shared" si="23"/>
        <v>15338782</v>
      </c>
    </row>
    <row r="43" spans="1:11" ht="15" customHeight="1">
      <c r="A43" s="158" t="s">
        <v>70</v>
      </c>
      <c r="B43" s="148" t="s">
        <v>71</v>
      </c>
      <c r="C43" s="46">
        <f t="shared" si="22"/>
        <v>8830611</v>
      </c>
      <c r="D43" s="46">
        <f t="shared" si="22"/>
        <v>8634100</v>
      </c>
      <c r="E43" s="46">
        <f t="shared" si="22"/>
        <v>25461181</v>
      </c>
      <c r="F43" s="46">
        <f t="shared" si="22"/>
        <v>22808521</v>
      </c>
      <c r="G43" s="46">
        <f t="shared" si="22"/>
        <v>15651606</v>
      </c>
      <c r="H43" s="46">
        <f t="shared" si="22"/>
        <v>15651606</v>
      </c>
      <c r="I43" s="46">
        <f t="shared" si="22"/>
        <v>15651606</v>
      </c>
      <c r="J43" s="46">
        <f t="shared" si="22"/>
        <v>0</v>
      </c>
      <c r="K43" s="47">
        <f t="shared" si="22"/>
        <v>16701365</v>
      </c>
    </row>
    <row r="44" spans="1:11" ht="14.25">
      <c r="A44" s="158" t="s">
        <v>72</v>
      </c>
      <c r="B44" s="148" t="s">
        <v>73</v>
      </c>
      <c r="C44" s="46">
        <f t="shared" si="22"/>
        <v>0</v>
      </c>
      <c r="D44" s="46">
        <f t="shared" si="22"/>
        <v>0</v>
      </c>
      <c r="E44" s="46">
        <f t="shared" si="22"/>
        <v>0</v>
      </c>
      <c r="F44" s="46">
        <f t="shared" si="22"/>
        <v>0</v>
      </c>
      <c r="G44" s="46">
        <f t="shared" si="22"/>
        <v>0</v>
      </c>
      <c r="H44" s="46">
        <f t="shared" si="22"/>
        <v>0</v>
      </c>
      <c r="I44" s="46">
        <f t="shared" si="22"/>
        <v>0</v>
      </c>
      <c r="J44" s="46">
        <f t="shared" si="22"/>
        <v>0</v>
      </c>
      <c r="K44" s="47">
        <f t="shared" si="22"/>
        <v>0</v>
      </c>
    </row>
    <row r="45" spans="1:11" ht="14.25">
      <c r="A45" s="158" t="s">
        <v>74</v>
      </c>
      <c r="B45" s="148" t="s">
        <v>75</v>
      </c>
      <c r="C45" s="46">
        <f t="shared" si="22"/>
        <v>0</v>
      </c>
      <c r="D45" s="46">
        <f t="shared" si="22"/>
        <v>0</v>
      </c>
      <c r="E45" s="46">
        <f t="shared" si="22"/>
        <v>93000</v>
      </c>
      <c r="F45" s="46">
        <f t="shared" si="22"/>
        <v>69902</v>
      </c>
      <c r="G45" s="46">
        <f t="shared" si="22"/>
        <v>65314</v>
      </c>
      <c r="H45" s="46">
        <f t="shared" si="22"/>
        <v>65314</v>
      </c>
      <c r="I45" s="46">
        <f t="shared" si="22"/>
        <v>65314</v>
      </c>
      <c r="J45" s="46">
        <f t="shared" si="22"/>
        <v>0</v>
      </c>
      <c r="K45" s="47">
        <f t="shared" si="22"/>
        <v>109979</v>
      </c>
    </row>
    <row r="46" spans="1:11" ht="28.5">
      <c r="A46" s="40" t="s">
        <v>76</v>
      </c>
      <c r="B46" s="147" t="s">
        <v>77</v>
      </c>
      <c r="C46" s="42">
        <f>C47</f>
        <v>0</v>
      </c>
      <c r="D46" s="42">
        <f>D47</f>
        <v>0</v>
      </c>
      <c r="E46" s="42">
        <f t="shared" ref="E46:K46" si="24">E47</f>
        <v>38000</v>
      </c>
      <c r="F46" s="42">
        <f t="shared" si="24"/>
        <v>242000</v>
      </c>
      <c r="G46" s="42">
        <f t="shared" si="24"/>
        <v>213293</v>
      </c>
      <c r="H46" s="42">
        <f t="shared" si="24"/>
        <v>213293</v>
      </c>
      <c r="I46" s="42">
        <f t="shared" si="24"/>
        <v>213293</v>
      </c>
      <c r="J46" s="42">
        <f t="shared" si="24"/>
        <v>0</v>
      </c>
      <c r="K46" s="43">
        <f t="shared" si="24"/>
        <v>213293</v>
      </c>
    </row>
    <row r="47" spans="1:11" ht="14.25">
      <c r="A47" s="44" t="s">
        <v>78</v>
      </c>
      <c r="B47" s="148" t="s">
        <v>79</v>
      </c>
      <c r="C47" s="46">
        <f>C178+C301</f>
        <v>0</v>
      </c>
      <c r="D47" s="46">
        <f>D178+D301</f>
        <v>0</v>
      </c>
      <c r="E47" s="46">
        <f t="shared" ref="E47:K47" si="25">E178+E301</f>
        <v>38000</v>
      </c>
      <c r="F47" s="46">
        <f t="shared" si="25"/>
        <v>242000</v>
      </c>
      <c r="G47" s="46">
        <f t="shared" si="25"/>
        <v>213293</v>
      </c>
      <c r="H47" s="46">
        <f t="shared" si="25"/>
        <v>213293</v>
      </c>
      <c r="I47" s="46">
        <f t="shared" si="25"/>
        <v>213293</v>
      </c>
      <c r="J47" s="46">
        <f t="shared" si="25"/>
        <v>0</v>
      </c>
      <c r="K47" s="47">
        <f t="shared" si="25"/>
        <v>213293</v>
      </c>
    </row>
    <row r="48" spans="1:11" ht="28.5">
      <c r="A48" s="40" t="s">
        <v>80</v>
      </c>
      <c r="B48" s="147" t="s">
        <v>81</v>
      </c>
      <c r="C48" s="42">
        <f>C49+C50</f>
        <v>0</v>
      </c>
      <c r="D48" s="42">
        <f>D49+D50</f>
        <v>0</v>
      </c>
      <c r="E48" s="42">
        <f t="shared" ref="E48:K48" si="26">E49+E50</f>
        <v>979134</v>
      </c>
      <c r="F48" s="42">
        <f t="shared" si="26"/>
        <v>1156675</v>
      </c>
      <c r="G48" s="42">
        <f t="shared" si="26"/>
        <v>977709</v>
      </c>
      <c r="H48" s="42">
        <f t="shared" si="26"/>
        <v>977709</v>
      </c>
      <c r="I48" s="42">
        <f t="shared" si="26"/>
        <v>977709</v>
      </c>
      <c r="J48" s="42">
        <f t="shared" si="26"/>
        <v>0</v>
      </c>
      <c r="K48" s="42">
        <f t="shared" si="26"/>
        <v>977709</v>
      </c>
    </row>
    <row r="49" spans="1:11" ht="15" customHeight="1">
      <c r="A49" s="44" t="s">
        <v>82</v>
      </c>
      <c r="B49" s="148" t="s">
        <v>83</v>
      </c>
      <c r="C49" s="46">
        <f t="shared" ref="C49:K52" si="27">C180+C303</f>
        <v>0</v>
      </c>
      <c r="D49" s="46">
        <f t="shared" si="27"/>
        <v>0</v>
      </c>
      <c r="E49" s="46">
        <f t="shared" si="27"/>
        <v>0</v>
      </c>
      <c r="F49" s="46">
        <f t="shared" si="27"/>
        <v>0</v>
      </c>
      <c r="G49" s="46">
        <f t="shared" si="27"/>
        <v>0</v>
      </c>
      <c r="H49" s="46">
        <f t="shared" si="27"/>
        <v>0</v>
      </c>
      <c r="I49" s="46">
        <f t="shared" si="27"/>
        <v>0</v>
      </c>
      <c r="J49" s="46">
        <f t="shared" si="27"/>
        <v>0</v>
      </c>
      <c r="K49" s="47">
        <f t="shared" si="27"/>
        <v>0</v>
      </c>
    </row>
    <row r="50" spans="1:11" ht="15" customHeight="1">
      <c r="A50" s="44" t="s">
        <v>84</v>
      </c>
      <c r="B50" s="148" t="s">
        <v>85</v>
      </c>
      <c r="C50" s="46">
        <f t="shared" si="27"/>
        <v>0</v>
      </c>
      <c r="D50" s="46">
        <f t="shared" si="27"/>
        <v>0</v>
      </c>
      <c r="E50" s="46">
        <f t="shared" si="27"/>
        <v>979134</v>
      </c>
      <c r="F50" s="46">
        <f t="shared" si="27"/>
        <v>1156675</v>
      </c>
      <c r="G50" s="46">
        <f t="shared" si="27"/>
        <v>977709</v>
      </c>
      <c r="H50" s="46">
        <f t="shared" si="27"/>
        <v>977709</v>
      </c>
      <c r="I50" s="46">
        <f t="shared" si="27"/>
        <v>977709</v>
      </c>
      <c r="J50" s="46">
        <f t="shared" si="27"/>
        <v>0</v>
      </c>
      <c r="K50" s="47">
        <f t="shared" si="27"/>
        <v>977709</v>
      </c>
    </row>
    <row r="51" spans="1:11" ht="15" customHeight="1">
      <c r="A51" s="58" t="s">
        <v>86</v>
      </c>
      <c r="B51" s="12" t="s">
        <v>87</v>
      </c>
      <c r="C51" s="46">
        <f t="shared" si="27"/>
        <v>0</v>
      </c>
      <c r="D51" s="46">
        <f t="shared" si="27"/>
        <v>835000</v>
      </c>
      <c r="E51" s="46">
        <f t="shared" si="27"/>
        <v>1138000</v>
      </c>
      <c r="F51" s="46">
        <f t="shared" si="27"/>
        <v>2037316</v>
      </c>
      <c r="G51" s="46">
        <f t="shared" si="27"/>
        <v>1996466</v>
      </c>
      <c r="H51" s="46">
        <f t="shared" si="27"/>
        <v>1996466</v>
      </c>
      <c r="I51" s="46">
        <f t="shared" si="27"/>
        <v>1996466</v>
      </c>
      <c r="J51" s="46">
        <f t="shared" si="27"/>
        <v>0</v>
      </c>
      <c r="K51" s="47">
        <f t="shared" si="27"/>
        <v>1212778</v>
      </c>
    </row>
    <row r="52" spans="1:11" ht="15" customHeight="1">
      <c r="A52" s="44" t="s">
        <v>88</v>
      </c>
      <c r="B52" s="148" t="s">
        <v>89</v>
      </c>
      <c r="C52" s="46">
        <f t="shared" si="27"/>
        <v>55627360</v>
      </c>
      <c r="D52" s="46">
        <f t="shared" si="27"/>
        <v>39167045</v>
      </c>
      <c r="E52" s="46">
        <f t="shared" si="27"/>
        <v>58706301</v>
      </c>
      <c r="F52" s="46">
        <f t="shared" si="27"/>
        <v>44226558</v>
      </c>
      <c r="G52" s="46">
        <f t="shared" si="27"/>
        <v>40928076</v>
      </c>
      <c r="H52" s="46">
        <f t="shared" si="27"/>
        <v>40928076</v>
      </c>
      <c r="I52" s="46">
        <f t="shared" si="27"/>
        <v>40928076</v>
      </c>
      <c r="J52" s="46">
        <f t="shared" si="27"/>
        <v>0</v>
      </c>
      <c r="K52" s="47">
        <f t="shared" si="27"/>
        <v>5926334</v>
      </c>
    </row>
    <row r="53" spans="1:11" ht="30">
      <c r="A53" s="36" t="s">
        <v>90</v>
      </c>
      <c r="B53" s="146" t="s">
        <v>91</v>
      </c>
      <c r="C53" s="38">
        <f>C54+C57+C58</f>
        <v>0</v>
      </c>
      <c r="D53" s="38">
        <f>D54+D57+D58</f>
        <v>80500</v>
      </c>
      <c r="E53" s="38">
        <f t="shared" ref="E53:K53" si="28">E54+E57+E58</f>
        <v>8249000</v>
      </c>
      <c r="F53" s="38">
        <f t="shared" si="28"/>
        <v>9821500</v>
      </c>
      <c r="G53" s="38">
        <f t="shared" si="28"/>
        <v>9739940</v>
      </c>
      <c r="H53" s="38">
        <f t="shared" si="28"/>
        <v>9739940</v>
      </c>
      <c r="I53" s="38">
        <f t="shared" si="28"/>
        <v>9739940</v>
      </c>
      <c r="J53" s="38">
        <f t="shared" si="28"/>
        <v>0</v>
      </c>
      <c r="K53" s="39">
        <f t="shared" si="28"/>
        <v>9678508</v>
      </c>
    </row>
    <row r="54" spans="1:11" ht="28.5">
      <c r="A54" s="40" t="s">
        <v>92</v>
      </c>
      <c r="B54" s="147" t="s">
        <v>93</v>
      </c>
      <c r="C54" s="42">
        <f>C55+C56</f>
        <v>0</v>
      </c>
      <c r="D54" s="42">
        <f>D55+D56</f>
        <v>0</v>
      </c>
      <c r="E54" s="42">
        <f t="shared" ref="E54:K54" si="29">E55+E56</f>
        <v>1000000</v>
      </c>
      <c r="F54" s="42">
        <f t="shared" si="29"/>
        <v>1000000</v>
      </c>
      <c r="G54" s="42">
        <f t="shared" si="29"/>
        <v>1000000</v>
      </c>
      <c r="H54" s="42">
        <f t="shared" si="29"/>
        <v>1000000</v>
      </c>
      <c r="I54" s="42">
        <f t="shared" si="29"/>
        <v>1000000</v>
      </c>
      <c r="J54" s="42">
        <f t="shared" si="29"/>
        <v>0</v>
      </c>
      <c r="K54" s="43">
        <f t="shared" si="29"/>
        <v>1000000</v>
      </c>
    </row>
    <row r="55" spans="1:11" ht="14.25">
      <c r="A55" s="44" t="s">
        <v>94</v>
      </c>
      <c r="B55" s="148" t="s">
        <v>95</v>
      </c>
      <c r="C55" s="46">
        <f t="shared" ref="C55:K57" si="30">C186+C309</f>
        <v>0</v>
      </c>
      <c r="D55" s="46">
        <f t="shared" si="30"/>
        <v>0</v>
      </c>
      <c r="E55" s="46">
        <f t="shared" si="30"/>
        <v>1000000</v>
      </c>
      <c r="F55" s="46">
        <f t="shared" si="30"/>
        <v>1000000</v>
      </c>
      <c r="G55" s="46">
        <f t="shared" si="30"/>
        <v>1000000</v>
      </c>
      <c r="H55" s="46">
        <f t="shared" si="30"/>
        <v>1000000</v>
      </c>
      <c r="I55" s="46">
        <f t="shared" si="30"/>
        <v>1000000</v>
      </c>
      <c r="J55" s="46">
        <f t="shared" si="30"/>
        <v>0</v>
      </c>
      <c r="K55" s="47">
        <f t="shared" si="30"/>
        <v>1000000</v>
      </c>
    </row>
    <row r="56" spans="1:11" ht="14.25">
      <c r="A56" s="44" t="s">
        <v>96</v>
      </c>
      <c r="B56" s="149" t="s">
        <v>97</v>
      </c>
      <c r="C56" s="46">
        <f t="shared" si="30"/>
        <v>0</v>
      </c>
      <c r="D56" s="46">
        <f t="shared" si="30"/>
        <v>0</v>
      </c>
      <c r="E56" s="46">
        <f t="shared" si="30"/>
        <v>0</v>
      </c>
      <c r="F56" s="46">
        <f t="shared" si="30"/>
        <v>0</v>
      </c>
      <c r="G56" s="46">
        <f t="shared" si="30"/>
        <v>0</v>
      </c>
      <c r="H56" s="46">
        <f t="shared" si="30"/>
        <v>0</v>
      </c>
      <c r="I56" s="46">
        <f t="shared" si="30"/>
        <v>0</v>
      </c>
      <c r="J56" s="46">
        <f t="shared" si="30"/>
        <v>0</v>
      </c>
      <c r="K56" s="47">
        <f t="shared" si="30"/>
        <v>0</v>
      </c>
    </row>
    <row r="57" spans="1:11" ht="14.25">
      <c r="A57" s="44" t="s">
        <v>98</v>
      </c>
      <c r="B57" s="149" t="s">
        <v>99</v>
      </c>
      <c r="C57" s="46">
        <f t="shared" si="30"/>
        <v>0</v>
      </c>
      <c r="D57" s="46">
        <f t="shared" si="30"/>
        <v>80500</v>
      </c>
      <c r="E57" s="46">
        <f t="shared" si="30"/>
        <v>7249000</v>
      </c>
      <c r="F57" s="46">
        <f t="shared" si="30"/>
        <v>8821500</v>
      </c>
      <c r="G57" s="46">
        <f t="shared" si="30"/>
        <v>8739940</v>
      </c>
      <c r="H57" s="46">
        <f t="shared" si="30"/>
        <v>8739940</v>
      </c>
      <c r="I57" s="46">
        <f t="shared" si="30"/>
        <v>8739940</v>
      </c>
      <c r="J57" s="46">
        <f t="shared" si="30"/>
        <v>0</v>
      </c>
      <c r="K57" s="47">
        <f t="shared" si="30"/>
        <v>8678508</v>
      </c>
    </row>
    <row r="58" spans="1:11" ht="28.5" hidden="1">
      <c r="A58" s="40" t="s">
        <v>100</v>
      </c>
      <c r="B58" s="147" t="s">
        <v>101</v>
      </c>
      <c r="C58" s="42">
        <f>C59</f>
        <v>0</v>
      </c>
      <c r="D58" s="42">
        <f>D59</f>
        <v>0</v>
      </c>
      <c r="E58" s="42">
        <f t="shared" ref="E58:K58" si="31">E59</f>
        <v>0</v>
      </c>
      <c r="F58" s="42">
        <f t="shared" si="31"/>
        <v>0</v>
      </c>
      <c r="G58" s="42">
        <f t="shared" si="31"/>
        <v>0</v>
      </c>
      <c r="H58" s="42">
        <f t="shared" si="31"/>
        <v>0</v>
      </c>
      <c r="I58" s="42">
        <f t="shared" si="31"/>
        <v>0</v>
      </c>
      <c r="J58" s="42">
        <f t="shared" si="31"/>
        <v>0</v>
      </c>
      <c r="K58" s="43">
        <f t="shared" si="31"/>
        <v>0</v>
      </c>
    </row>
    <row r="59" spans="1:11" ht="14.25" hidden="1">
      <c r="A59" s="44" t="s">
        <v>102</v>
      </c>
      <c r="B59" s="148" t="s">
        <v>103</v>
      </c>
      <c r="C59" s="46">
        <f t="shared" ref="C59:K59" si="32">C190+C313</f>
        <v>0</v>
      </c>
      <c r="D59" s="46">
        <f t="shared" si="32"/>
        <v>0</v>
      </c>
      <c r="E59" s="46">
        <f t="shared" si="32"/>
        <v>0</v>
      </c>
      <c r="F59" s="46">
        <f t="shared" si="32"/>
        <v>0</v>
      </c>
      <c r="G59" s="46">
        <f t="shared" si="32"/>
        <v>0</v>
      </c>
      <c r="H59" s="46">
        <f t="shared" si="32"/>
        <v>0</v>
      </c>
      <c r="I59" s="46">
        <f t="shared" si="32"/>
        <v>0</v>
      </c>
      <c r="J59" s="46">
        <f t="shared" si="32"/>
        <v>0</v>
      </c>
      <c r="K59" s="46">
        <f t="shared" si="32"/>
        <v>0</v>
      </c>
    </row>
    <row r="60" spans="1:11" ht="45">
      <c r="A60" s="36" t="s">
        <v>104</v>
      </c>
      <c r="B60" s="146" t="s">
        <v>105</v>
      </c>
      <c r="C60" s="38">
        <f>C61+C72+C76+C77</f>
        <v>36141054</v>
      </c>
      <c r="D60" s="38">
        <f>D61+D72+D76+D77</f>
        <v>35001390</v>
      </c>
      <c r="E60" s="38">
        <f>E61+E72+E76+E77</f>
        <v>75538967</v>
      </c>
      <c r="F60" s="38">
        <f t="shared" ref="F60:K60" si="33">F61+F72+F76+F77</f>
        <v>86113935</v>
      </c>
      <c r="G60" s="38">
        <f t="shared" si="33"/>
        <v>74156107</v>
      </c>
      <c r="H60" s="38">
        <f t="shared" si="33"/>
        <v>74156107</v>
      </c>
      <c r="I60" s="38">
        <f t="shared" si="33"/>
        <v>74156107</v>
      </c>
      <c r="J60" s="38">
        <f t="shared" si="33"/>
        <v>0</v>
      </c>
      <c r="K60" s="38">
        <f t="shared" si="33"/>
        <v>58673121</v>
      </c>
    </row>
    <row r="61" spans="1:11" ht="28.5">
      <c r="A61" s="56" t="s">
        <v>106</v>
      </c>
      <c r="B61" s="147" t="s">
        <v>107</v>
      </c>
      <c r="C61" s="42">
        <f>C62+C63+C64+C65+C66+C67+C68+C69+C71+C70</f>
        <v>20680500</v>
      </c>
      <c r="D61" s="42">
        <f t="shared" ref="D61:K61" si="34">D62+D63+D64+D65+D66+D67+D68+D69+D71+D70</f>
        <v>20369500</v>
      </c>
      <c r="E61" s="42">
        <f>E62+E63+E64+E65+E66+E67+E68+E69+E71+E70</f>
        <v>40000413</v>
      </c>
      <c r="F61" s="42">
        <f t="shared" si="34"/>
        <v>47593695</v>
      </c>
      <c r="G61" s="42">
        <f t="shared" si="34"/>
        <v>42584772</v>
      </c>
      <c r="H61" s="42">
        <f t="shared" si="34"/>
        <v>42584772</v>
      </c>
      <c r="I61" s="42">
        <f t="shared" si="34"/>
        <v>42584772</v>
      </c>
      <c r="J61" s="42">
        <f t="shared" si="34"/>
        <v>0</v>
      </c>
      <c r="K61" s="42">
        <f t="shared" si="34"/>
        <v>27342516</v>
      </c>
    </row>
    <row r="62" spans="1:11" ht="28.5">
      <c r="A62" s="44" t="s">
        <v>108</v>
      </c>
      <c r="B62" s="148" t="s">
        <v>109</v>
      </c>
      <c r="C62" s="46">
        <f t="shared" ref="C62:K71" si="35">C193+C316</f>
        <v>0</v>
      </c>
      <c r="D62" s="46">
        <f t="shared" si="35"/>
        <v>0</v>
      </c>
      <c r="E62" s="46">
        <f t="shared" si="35"/>
        <v>0</v>
      </c>
      <c r="F62" s="46">
        <f t="shared" si="35"/>
        <v>0</v>
      </c>
      <c r="G62" s="46">
        <f t="shared" si="35"/>
        <v>0</v>
      </c>
      <c r="H62" s="46">
        <f t="shared" si="35"/>
        <v>0</v>
      </c>
      <c r="I62" s="46">
        <f t="shared" si="35"/>
        <v>0</v>
      </c>
      <c r="J62" s="46">
        <f t="shared" si="35"/>
        <v>0</v>
      </c>
      <c r="K62" s="47">
        <f t="shared" si="35"/>
        <v>0</v>
      </c>
    </row>
    <row r="63" spans="1:11" ht="14.25">
      <c r="A63" s="44" t="s">
        <v>110</v>
      </c>
      <c r="B63" s="148" t="s">
        <v>111</v>
      </c>
      <c r="C63" s="46">
        <f t="shared" si="35"/>
        <v>16856500</v>
      </c>
      <c r="D63" s="46">
        <f t="shared" si="35"/>
        <v>15924000</v>
      </c>
      <c r="E63" s="46">
        <f t="shared" si="35"/>
        <v>16856500</v>
      </c>
      <c r="F63" s="46">
        <f t="shared" si="35"/>
        <v>15924000</v>
      </c>
      <c r="G63" s="46">
        <f t="shared" si="35"/>
        <v>12348568</v>
      </c>
      <c r="H63" s="46">
        <f t="shared" si="35"/>
        <v>12348568</v>
      </c>
      <c r="I63" s="46">
        <f t="shared" si="35"/>
        <v>12348568</v>
      </c>
      <c r="J63" s="46">
        <f t="shared" si="35"/>
        <v>0</v>
      </c>
      <c r="K63" s="47">
        <f t="shared" si="35"/>
        <v>9335</v>
      </c>
    </row>
    <row r="64" spans="1:11" ht="28.5">
      <c r="A64" s="44" t="s">
        <v>112</v>
      </c>
      <c r="B64" s="148" t="s">
        <v>113</v>
      </c>
      <c r="C64" s="46">
        <f t="shared" si="35"/>
        <v>3824000</v>
      </c>
      <c r="D64" s="46">
        <f t="shared" si="35"/>
        <v>4445500</v>
      </c>
      <c r="E64" s="48">
        <f t="shared" si="35"/>
        <v>15813913</v>
      </c>
      <c r="F64" s="46">
        <f t="shared" si="35"/>
        <v>23752695</v>
      </c>
      <c r="G64" s="46">
        <f t="shared" si="35"/>
        <v>22343003</v>
      </c>
      <c r="H64" s="46">
        <f t="shared" si="35"/>
        <v>22343003</v>
      </c>
      <c r="I64" s="46">
        <f t="shared" si="35"/>
        <v>22343003</v>
      </c>
      <c r="J64" s="46">
        <f t="shared" si="35"/>
        <v>0</v>
      </c>
      <c r="K64" s="47">
        <f t="shared" si="35"/>
        <v>19439980</v>
      </c>
    </row>
    <row r="65" spans="1:11" ht="14.25">
      <c r="A65" s="44" t="s">
        <v>114</v>
      </c>
      <c r="B65" s="148" t="s">
        <v>115</v>
      </c>
      <c r="C65" s="46">
        <f t="shared" si="35"/>
        <v>0</v>
      </c>
      <c r="D65" s="46">
        <f t="shared" si="35"/>
        <v>0</v>
      </c>
      <c r="E65" s="46">
        <f t="shared" si="35"/>
        <v>0</v>
      </c>
      <c r="F65" s="46">
        <f t="shared" si="35"/>
        <v>0</v>
      </c>
      <c r="G65" s="46">
        <f t="shared" si="35"/>
        <v>0</v>
      </c>
      <c r="H65" s="46">
        <f t="shared" si="35"/>
        <v>0</v>
      </c>
      <c r="I65" s="46">
        <f t="shared" si="35"/>
        <v>0</v>
      </c>
      <c r="J65" s="46">
        <f t="shared" si="35"/>
        <v>0</v>
      </c>
      <c r="K65" s="47">
        <f t="shared" si="35"/>
        <v>0</v>
      </c>
    </row>
    <row r="66" spans="1:11" ht="14.25">
      <c r="A66" s="44" t="s">
        <v>116</v>
      </c>
      <c r="B66" s="148" t="s">
        <v>117</v>
      </c>
      <c r="C66" s="46">
        <f t="shared" si="35"/>
        <v>0</v>
      </c>
      <c r="D66" s="46">
        <f t="shared" si="35"/>
        <v>0</v>
      </c>
      <c r="E66" s="46">
        <f t="shared" si="35"/>
        <v>0</v>
      </c>
      <c r="F66" s="46">
        <f t="shared" si="35"/>
        <v>0</v>
      </c>
      <c r="G66" s="46">
        <f t="shared" si="35"/>
        <v>0</v>
      </c>
      <c r="H66" s="46">
        <f t="shared" si="35"/>
        <v>0</v>
      </c>
      <c r="I66" s="46">
        <f t="shared" si="35"/>
        <v>0</v>
      </c>
      <c r="J66" s="46">
        <f t="shared" si="35"/>
        <v>0</v>
      </c>
      <c r="K66" s="47">
        <f t="shared" si="35"/>
        <v>0</v>
      </c>
    </row>
    <row r="67" spans="1:11" ht="14.25">
      <c r="A67" s="44" t="s">
        <v>118</v>
      </c>
      <c r="B67" s="148" t="s">
        <v>119</v>
      </c>
      <c r="C67" s="46">
        <f t="shared" si="35"/>
        <v>0</v>
      </c>
      <c r="D67" s="46">
        <f t="shared" si="35"/>
        <v>0</v>
      </c>
      <c r="E67" s="46">
        <f t="shared" si="35"/>
        <v>0</v>
      </c>
      <c r="F67" s="46">
        <f t="shared" si="35"/>
        <v>0</v>
      </c>
      <c r="G67" s="46">
        <f t="shared" si="35"/>
        <v>0</v>
      </c>
      <c r="H67" s="46">
        <f t="shared" si="35"/>
        <v>0</v>
      </c>
      <c r="I67" s="46">
        <f t="shared" si="35"/>
        <v>0</v>
      </c>
      <c r="J67" s="46">
        <f t="shared" si="35"/>
        <v>0</v>
      </c>
      <c r="K67" s="47">
        <f t="shared" si="35"/>
        <v>0</v>
      </c>
    </row>
    <row r="68" spans="1:11" ht="28.5">
      <c r="A68" s="44" t="s">
        <v>120</v>
      </c>
      <c r="B68" s="148" t="s">
        <v>121</v>
      </c>
      <c r="C68" s="46">
        <f t="shared" si="35"/>
        <v>0</v>
      </c>
      <c r="D68" s="46">
        <f t="shared" si="35"/>
        <v>0</v>
      </c>
      <c r="E68" s="46">
        <f t="shared" si="35"/>
        <v>0</v>
      </c>
      <c r="F68" s="46">
        <f t="shared" si="35"/>
        <v>0</v>
      </c>
      <c r="G68" s="46">
        <f t="shared" si="35"/>
        <v>0</v>
      </c>
      <c r="H68" s="46">
        <f t="shared" si="35"/>
        <v>0</v>
      </c>
      <c r="I68" s="46">
        <f t="shared" si="35"/>
        <v>0</v>
      </c>
      <c r="J68" s="46">
        <f t="shared" si="35"/>
        <v>0</v>
      </c>
      <c r="K68" s="47">
        <f t="shared" si="35"/>
        <v>0</v>
      </c>
    </row>
    <row r="69" spans="1:11" ht="28.5">
      <c r="A69" s="44" t="s">
        <v>122</v>
      </c>
      <c r="B69" s="148" t="s">
        <v>123</v>
      </c>
      <c r="C69" s="46">
        <f t="shared" si="35"/>
        <v>0</v>
      </c>
      <c r="D69" s="46">
        <f t="shared" si="35"/>
        <v>0</v>
      </c>
      <c r="E69" s="46">
        <f t="shared" si="35"/>
        <v>0</v>
      </c>
      <c r="F69" s="46">
        <f t="shared" si="35"/>
        <v>0</v>
      </c>
      <c r="G69" s="46">
        <f t="shared" si="35"/>
        <v>0</v>
      </c>
      <c r="H69" s="46">
        <f t="shared" si="35"/>
        <v>0</v>
      </c>
      <c r="I69" s="46">
        <f t="shared" si="35"/>
        <v>0</v>
      </c>
      <c r="J69" s="46">
        <f t="shared" si="35"/>
        <v>0</v>
      </c>
      <c r="K69" s="47">
        <f t="shared" si="35"/>
        <v>0</v>
      </c>
    </row>
    <row r="70" spans="1:11" ht="14.25">
      <c r="A70" s="44" t="s">
        <v>124</v>
      </c>
      <c r="B70" s="148" t="s">
        <v>125</v>
      </c>
      <c r="C70" s="46">
        <f t="shared" si="35"/>
        <v>0</v>
      </c>
      <c r="D70" s="46">
        <f t="shared" si="35"/>
        <v>0</v>
      </c>
      <c r="E70" s="46">
        <f t="shared" si="35"/>
        <v>7000000</v>
      </c>
      <c r="F70" s="46">
        <f t="shared" si="35"/>
        <v>7600000</v>
      </c>
      <c r="G70" s="46">
        <f t="shared" si="35"/>
        <v>7588879</v>
      </c>
      <c r="H70" s="46">
        <f t="shared" si="35"/>
        <v>7588879</v>
      </c>
      <c r="I70" s="46">
        <f t="shared" si="35"/>
        <v>7588879</v>
      </c>
      <c r="J70" s="46">
        <f t="shared" si="35"/>
        <v>0</v>
      </c>
      <c r="K70" s="46">
        <f t="shared" si="35"/>
        <v>7588879</v>
      </c>
    </row>
    <row r="71" spans="1:11" ht="14.25">
      <c r="A71" s="44" t="s">
        <v>126</v>
      </c>
      <c r="B71" s="148" t="s">
        <v>127</v>
      </c>
      <c r="C71" s="46">
        <f t="shared" si="35"/>
        <v>0</v>
      </c>
      <c r="D71" s="46">
        <f t="shared" si="35"/>
        <v>0</v>
      </c>
      <c r="E71" s="48">
        <f t="shared" si="35"/>
        <v>330000</v>
      </c>
      <c r="F71" s="46">
        <f t="shared" si="35"/>
        <v>317000</v>
      </c>
      <c r="G71" s="46">
        <f t="shared" si="35"/>
        <v>304322</v>
      </c>
      <c r="H71" s="46">
        <f t="shared" si="35"/>
        <v>304322</v>
      </c>
      <c r="I71" s="46">
        <f t="shared" si="35"/>
        <v>304322</v>
      </c>
      <c r="J71" s="46">
        <f t="shared" si="35"/>
        <v>0</v>
      </c>
      <c r="K71" s="47">
        <f t="shared" si="35"/>
        <v>304322</v>
      </c>
    </row>
    <row r="72" spans="1:11" ht="28.5">
      <c r="A72" s="40" t="s">
        <v>128</v>
      </c>
      <c r="B72" s="147" t="s">
        <v>129</v>
      </c>
      <c r="C72" s="42">
        <f>C73+C74+C75</f>
        <v>6979000</v>
      </c>
      <c r="D72" s="42">
        <f>D73+D74+D75</f>
        <v>2455200</v>
      </c>
      <c r="E72" s="42">
        <f>E73+E74+E75</f>
        <v>26979000</v>
      </c>
      <c r="F72" s="42">
        <f t="shared" ref="F72:K72" si="36">F73+F74+F75</f>
        <v>26265550</v>
      </c>
      <c r="G72" s="42">
        <f t="shared" si="36"/>
        <v>26024295</v>
      </c>
      <c r="H72" s="42">
        <f t="shared" si="36"/>
        <v>26024295</v>
      </c>
      <c r="I72" s="42">
        <f t="shared" si="36"/>
        <v>26024295</v>
      </c>
      <c r="J72" s="42">
        <f t="shared" si="36"/>
        <v>0</v>
      </c>
      <c r="K72" s="42">
        <f t="shared" si="36"/>
        <v>23805733</v>
      </c>
    </row>
    <row r="73" spans="1:11" ht="14.25">
      <c r="A73" s="44" t="s">
        <v>130</v>
      </c>
      <c r="B73" s="148" t="s">
        <v>131</v>
      </c>
      <c r="C73" s="46">
        <f t="shared" ref="C73:K77" si="37">C204+C327</f>
        <v>6911000</v>
      </c>
      <c r="D73" s="46">
        <f t="shared" si="37"/>
        <v>2364000</v>
      </c>
      <c r="E73" s="48">
        <f t="shared" si="37"/>
        <v>13911000</v>
      </c>
      <c r="F73" s="46">
        <f t="shared" si="37"/>
        <v>12854000</v>
      </c>
      <c r="G73" s="46">
        <f t="shared" si="37"/>
        <v>12704533</v>
      </c>
      <c r="H73" s="46">
        <f t="shared" si="37"/>
        <v>12704533</v>
      </c>
      <c r="I73" s="46">
        <f t="shared" si="37"/>
        <v>12704533</v>
      </c>
      <c r="J73" s="46">
        <f t="shared" si="37"/>
        <v>0</v>
      </c>
      <c r="K73" s="46">
        <f t="shared" si="37"/>
        <v>10486054</v>
      </c>
    </row>
    <row r="74" spans="1:11" ht="14.25">
      <c r="A74" s="44" t="s">
        <v>132</v>
      </c>
      <c r="B74" s="148" t="s">
        <v>133</v>
      </c>
      <c r="C74" s="46">
        <f t="shared" si="37"/>
        <v>0</v>
      </c>
      <c r="D74" s="46">
        <f t="shared" si="37"/>
        <v>0</v>
      </c>
      <c r="E74" s="46">
        <f t="shared" si="37"/>
        <v>0</v>
      </c>
      <c r="F74" s="46">
        <f t="shared" si="37"/>
        <v>0</v>
      </c>
      <c r="G74" s="46">
        <f t="shared" si="37"/>
        <v>0</v>
      </c>
      <c r="H74" s="46">
        <f t="shared" si="37"/>
        <v>0</v>
      </c>
      <c r="I74" s="46">
        <f t="shared" si="37"/>
        <v>0</v>
      </c>
      <c r="J74" s="46">
        <f t="shared" si="37"/>
        <v>0</v>
      </c>
      <c r="K74" s="47">
        <f t="shared" si="37"/>
        <v>0</v>
      </c>
    </row>
    <row r="75" spans="1:11" ht="28.5">
      <c r="A75" s="44" t="s">
        <v>134</v>
      </c>
      <c r="B75" s="148" t="s">
        <v>135</v>
      </c>
      <c r="C75" s="46">
        <f t="shared" si="37"/>
        <v>68000</v>
      </c>
      <c r="D75" s="46">
        <f t="shared" si="37"/>
        <v>91200</v>
      </c>
      <c r="E75" s="48">
        <f t="shared" si="37"/>
        <v>13068000</v>
      </c>
      <c r="F75" s="46">
        <f t="shared" si="37"/>
        <v>13411550</v>
      </c>
      <c r="G75" s="46">
        <f t="shared" si="37"/>
        <v>13319762</v>
      </c>
      <c r="H75" s="46">
        <f t="shared" si="37"/>
        <v>13319762</v>
      </c>
      <c r="I75" s="46">
        <f t="shared" si="37"/>
        <v>13319762</v>
      </c>
      <c r="J75" s="46">
        <f t="shared" si="37"/>
        <v>0</v>
      </c>
      <c r="K75" s="47">
        <f t="shared" si="37"/>
        <v>13319679</v>
      </c>
    </row>
    <row r="76" spans="1:11" ht="14.25">
      <c r="A76" s="44" t="s">
        <v>136</v>
      </c>
      <c r="B76" s="148" t="s">
        <v>137</v>
      </c>
      <c r="C76" s="46">
        <f t="shared" si="37"/>
        <v>0</v>
      </c>
      <c r="D76" s="46">
        <f t="shared" si="37"/>
        <v>0</v>
      </c>
      <c r="E76" s="46">
        <f t="shared" si="37"/>
        <v>60000</v>
      </c>
      <c r="F76" s="46">
        <f t="shared" si="37"/>
        <v>60000</v>
      </c>
      <c r="G76" s="46">
        <f t="shared" si="37"/>
        <v>60000</v>
      </c>
      <c r="H76" s="46">
        <f t="shared" si="37"/>
        <v>60000</v>
      </c>
      <c r="I76" s="46">
        <f t="shared" si="37"/>
        <v>60000</v>
      </c>
      <c r="J76" s="46">
        <f t="shared" si="37"/>
        <v>0</v>
      </c>
      <c r="K76" s="47">
        <f t="shared" si="37"/>
        <v>60000</v>
      </c>
    </row>
    <row r="77" spans="1:11" ht="28.5">
      <c r="A77" s="44" t="s">
        <v>138</v>
      </c>
      <c r="B77" s="148" t="s">
        <v>139</v>
      </c>
      <c r="C77" s="46">
        <f t="shared" si="37"/>
        <v>8481554</v>
      </c>
      <c r="D77" s="46">
        <f t="shared" si="37"/>
        <v>12176690</v>
      </c>
      <c r="E77" s="48">
        <f t="shared" si="37"/>
        <v>8499554</v>
      </c>
      <c r="F77" s="46">
        <f t="shared" si="37"/>
        <v>12194690</v>
      </c>
      <c r="G77" s="46">
        <f t="shared" si="37"/>
        <v>5487040</v>
      </c>
      <c r="H77" s="46">
        <f t="shared" si="37"/>
        <v>5487040</v>
      </c>
      <c r="I77" s="46">
        <f t="shared" si="37"/>
        <v>5487040</v>
      </c>
      <c r="J77" s="46">
        <f t="shared" si="37"/>
        <v>0</v>
      </c>
      <c r="K77" s="47">
        <f t="shared" si="37"/>
        <v>7464872</v>
      </c>
    </row>
    <row r="78" spans="1:11" s="21" customFormat="1" ht="14.25">
      <c r="A78" s="59" t="s">
        <v>140</v>
      </c>
      <c r="B78" s="150"/>
      <c r="C78" s="60">
        <f>C79+C59-'[1]Prim+SPAS'!D189+'[1]66.SPAS'!J293</f>
        <v>0</v>
      </c>
      <c r="D78" s="60">
        <f>D79+D59-'[1]Prim+SPAS'!E189+'[1]66.SPAS'!K293</f>
        <v>80500</v>
      </c>
      <c r="E78" s="60">
        <f>E79+E59-'[1]Prim+SPAS'!F189-E313+'[1]66.SPAS'!L293</f>
        <v>78397266</v>
      </c>
      <c r="F78" s="60">
        <f>F79+F59-'[1]Prim+SPAS'!G189-F313+'[1]66.SPAS'!M293</f>
        <v>90241465</v>
      </c>
      <c r="G78" s="60">
        <f>G79+G59-'[1]Prim+SPAS'!H189-G313+'[1]66.SPAS'!N293</f>
        <v>89828641</v>
      </c>
      <c r="H78" s="60">
        <f>H79+H59-'[1]Prim+SPAS'!I189-H313+'[1]66.SPAS'!O293</f>
        <v>89828641</v>
      </c>
      <c r="I78" s="60">
        <f>I79+I59-'[1]Prim+SPAS'!J189-I313+'[1]66.SPAS'!P293</f>
        <v>89828641</v>
      </c>
      <c r="J78" s="60">
        <f>J79+J59-'[1]Prim+SPAS'!K189-J313+'[1]66.SPAS'!Q293</f>
        <v>0</v>
      </c>
      <c r="K78" s="60">
        <f>K79+K59-'[1]Prim+SPAS'!L189-K313+'[1]66.SPAS'!R293</f>
        <v>89414619</v>
      </c>
    </row>
    <row r="79" spans="1:11" ht="60">
      <c r="A79" s="36" t="s">
        <v>141</v>
      </c>
      <c r="B79" s="146" t="s">
        <v>142</v>
      </c>
      <c r="C79" s="38">
        <f>C80+C81+C83+C84+C85+C86+C87+C90</f>
        <v>470000</v>
      </c>
      <c r="D79" s="38">
        <f t="shared" ref="D79:K79" si="38">D80+D81+D83+D84+D85+D86+D87+D91</f>
        <v>2000</v>
      </c>
      <c r="E79" s="38">
        <f>E80+E81+E83+E84+E85+E86+E87+E91</f>
        <v>78867266</v>
      </c>
      <c r="F79" s="38">
        <f t="shared" si="38"/>
        <v>90162965</v>
      </c>
      <c r="G79" s="38">
        <f t="shared" si="38"/>
        <v>89748331</v>
      </c>
      <c r="H79" s="38">
        <f t="shared" si="38"/>
        <v>89748331</v>
      </c>
      <c r="I79" s="38">
        <f>I80+I81+I83+I84+I85+I86+I87+I91</f>
        <v>89748331</v>
      </c>
      <c r="J79" s="38">
        <f t="shared" si="38"/>
        <v>0</v>
      </c>
      <c r="K79" s="39">
        <f t="shared" si="38"/>
        <v>89405604</v>
      </c>
    </row>
    <row r="80" spans="1:11" ht="15" hidden="1">
      <c r="A80" s="44" t="s">
        <v>143</v>
      </c>
      <c r="B80" s="148" t="s">
        <v>144</v>
      </c>
      <c r="C80" s="61">
        <f>C210+C333</f>
        <v>0</v>
      </c>
      <c r="D80" s="61">
        <f>D210+D333</f>
        <v>0</v>
      </c>
      <c r="E80" s="61">
        <f>E210+E333</f>
        <v>0</v>
      </c>
      <c r="F80" s="61">
        <f t="shared" ref="F80:K80" si="39">F210+F333</f>
        <v>0</v>
      </c>
      <c r="G80" s="61">
        <f t="shared" si="39"/>
        <v>0</v>
      </c>
      <c r="H80" s="61">
        <f t="shared" si="39"/>
        <v>0</v>
      </c>
      <c r="I80" s="61">
        <f t="shared" si="39"/>
        <v>0</v>
      </c>
      <c r="J80" s="61">
        <f t="shared" si="39"/>
        <v>0</v>
      </c>
      <c r="K80" s="62">
        <f t="shared" si="39"/>
        <v>0</v>
      </c>
    </row>
    <row r="81" spans="1:11" ht="28.5">
      <c r="A81" s="40" t="s">
        <v>145</v>
      </c>
      <c r="B81" s="147" t="s">
        <v>146</v>
      </c>
      <c r="C81" s="42">
        <f>C82</f>
        <v>0</v>
      </c>
      <c r="D81" s="42">
        <f>D82</f>
        <v>0</v>
      </c>
      <c r="E81" s="42">
        <f t="shared" ref="E81:K81" si="40">E82</f>
        <v>57364000</v>
      </c>
      <c r="F81" s="42">
        <f t="shared" si="40"/>
        <v>66999000</v>
      </c>
      <c r="G81" s="42">
        <f t="shared" si="40"/>
        <v>66880050</v>
      </c>
      <c r="H81" s="42">
        <f t="shared" si="40"/>
        <v>66880050</v>
      </c>
      <c r="I81" s="42">
        <f t="shared" si="40"/>
        <v>66880050</v>
      </c>
      <c r="J81" s="42">
        <f t="shared" si="40"/>
        <v>0</v>
      </c>
      <c r="K81" s="43">
        <f t="shared" si="40"/>
        <v>62417944</v>
      </c>
    </row>
    <row r="82" spans="1:11" ht="14.25">
      <c r="A82" s="44" t="s">
        <v>147</v>
      </c>
      <c r="B82" s="148" t="s">
        <v>148</v>
      </c>
      <c r="C82" s="46">
        <f t="shared" ref="C82:K86" si="41">C212+C335</f>
        <v>0</v>
      </c>
      <c r="D82" s="46">
        <f t="shared" si="41"/>
        <v>0</v>
      </c>
      <c r="E82" s="46">
        <f t="shared" si="41"/>
        <v>57364000</v>
      </c>
      <c r="F82" s="46">
        <f t="shared" si="41"/>
        <v>66999000</v>
      </c>
      <c r="G82" s="46">
        <f t="shared" si="41"/>
        <v>66880050</v>
      </c>
      <c r="H82" s="46">
        <f t="shared" si="41"/>
        <v>66880050</v>
      </c>
      <c r="I82" s="46">
        <f t="shared" si="41"/>
        <v>66880050</v>
      </c>
      <c r="J82" s="46">
        <f t="shared" si="41"/>
        <v>0</v>
      </c>
      <c r="K82" s="63">
        <f t="shared" si="41"/>
        <v>62417944</v>
      </c>
    </row>
    <row r="83" spans="1:11" ht="14.25">
      <c r="A83" s="44" t="s">
        <v>149</v>
      </c>
      <c r="B83" s="148" t="s">
        <v>150</v>
      </c>
      <c r="C83" s="46">
        <f t="shared" si="41"/>
        <v>0</v>
      </c>
      <c r="D83" s="46">
        <f t="shared" si="41"/>
        <v>0</v>
      </c>
      <c r="E83" s="46">
        <f t="shared" si="41"/>
        <v>1900000</v>
      </c>
      <c r="F83" s="46">
        <f t="shared" si="41"/>
        <v>1743000</v>
      </c>
      <c r="G83" s="46">
        <f t="shared" si="41"/>
        <v>1720305</v>
      </c>
      <c r="H83" s="46">
        <f t="shared" si="41"/>
        <v>1720305</v>
      </c>
      <c r="I83" s="46">
        <f t="shared" si="41"/>
        <v>1720305</v>
      </c>
      <c r="J83" s="46">
        <f t="shared" si="41"/>
        <v>0</v>
      </c>
      <c r="K83" s="47">
        <f t="shared" si="41"/>
        <v>1839750</v>
      </c>
    </row>
    <row r="84" spans="1:11" ht="14.25">
      <c r="A84" s="44" t="s">
        <v>151</v>
      </c>
      <c r="B84" s="148" t="s">
        <v>152</v>
      </c>
      <c r="C84" s="46">
        <f t="shared" si="41"/>
        <v>470000</v>
      </c>
      <c r="D84" s="46">
        <f t="shared" si="41"/>
        <v>1000</v>
      </c>
      <c r="E84" s="46">
        <f t="shared" si="41"/>
        <v>632500</v>
      </c>
      <c r="F84" s="46">
        <f t="shared" si="41"/>
        <v>234548</v>
      </c>
      <c r="G84" s="46">
        <f t="shared" si="41"/>
        <v>229900</v>
      </c>
      <c r="H84" s="46">
        <f t="shared" si="41"/>
        <v>229900</v>
      </c>
      <c r="I84" s="46">
        <f t="shared" si="41"/>
        <v>229900</v>
      </c>
      <c r="J84" s="46">
        <f t="shared" si="41"/>
        <v>0</v>
      </c>
      <c r="K84" s="47">
        <f t="shared" si="41"/>
        <v>225060</v>
      </c>
    </row>
    <row r="85" spans="1:11" ht="14.25">
      <c r="A85" s="44" t="s">
        <v>153</v>
      </c>
      <c r="B85" s="148" t="s">
        <v>154</v>
      </c>
      <c r="C85" s="46">
        <f t="shared" si="41"/>
        <v>0</v>
      </c>
      <c r="D85" s="46">
        <f t="shared" si="41"/>
        <v>0</v>
      </c>
      <c r="E85" s="46">
        <f t="shared" si="41"/>
        <v>0</v>
      </c>
      <c r="F85" s="46">
        <f t="shared" si="41"/>
        <v>0</v>
      </c>
      <c r="G85" s="46">
        <f t="shared" si="41"/>
        <v>0</v>
      </c>
      <c r="H85" s="46">
        <f t="shared" si="41"/>
        <v>0</v>
      </c>
      <c r="I85" s="46">
        <f t="shared" si="41"/>
        <v>0</v>
      </c>
      <c r="J85" s="46">
        <f t="shared" si="41"/>
        <v>0</v>
      </c>
      <c r="K85" s="47">
        <f t="shared" si="41"/>
        <v>0</v>
      </c>
    </row>
    <row r="86" spans="1:11" ht="14.25">
      <c r="A86" s="44" t="s">
        <v>155</v>
      </c>
      <c r="B86" s="149" t="s">
        <v>156</v>
      </c>
      <c r="C86" s="46">
        <f t="shared" si="41"/>
        <v>0</v>
      </c>
      <c r="D86" s="46">
        <f t="shared" si="41"/>
        <v>0</v>
      </c>
      <c r="E86" s="46">
        <f t="shared" si="41"/>
        <v>0</v>
      </c>
      <c r="F86" s="46">
        <f t="shared" si="41"/>
        <v>0</v>
      </c>
      <c r="G86" s="46">
        <f t="shared" si="41"/>
        <v>0</v>
      </c>
      <c r="H86" s="46">
        <f t="shared" si="41"/>
        <v>0</v>
      </c>
      <c r="I86" s="46">
        <f t="shared" si="41"/>
        <v>0</v>
      </c>
      <c r="J86" s="46">
        <f t="shared" si="41"/>
        <v>0</v>
      </c>
      <c r="K86" s="47">
        <f t="shared" si="41"/>
        <v>0</v>
      </c>
    </row>
    <row r="87" spans="1:11" ht="28.5">
      <c r="A87" s="40" t="s">
        <v>157</v>
      </c>
      <c r="B87" s="147" t="s">
        <v>158</v>
      </c>
      <c r="C87" s="42">
        <f>C89+C88</f>
        <v>0</v>
      </c>
      <c r="D87" s="42">
        <f>D89+D88</f>
        <v>0</v>
      </c>
      <c r="E87" s="42">
        <f t="shared" ref="E87:K87" si="42">E89+E88</f>
        <v>7519140</v>
      </c>
      <c r="F87" s="42">
        <f t="shared" si="42"/>
        <v>9748140</v>
      </c>
      <c r="G87" s="42">
        <f t="shared" si="42"/>
        <v>9747613</v>
      </c>
      <c r="H87" s="42">
        <f t="shared" si="42"/>
        <v>9747613</v>
      </c>
      <c r="I87" s="42">
        <f t="shared" si="42"/>
        <v>9747613</v>
      </c>
      <c r="J87" s="42">
        <f t="shared" si="42"/>
        <v>0</v>
      </c>
      <c r="K87" s="43">
        <f t="shared" si="42"/>
        <v>13430821</v>
      </c>
    </row>
    <row r="88" spans="1:11" ht="14.25">
      <c r="A88" s="44" t="s">
        <v>159</v>
      </c>
      <c r="B88" s="148" t="s">
        <v>160</v>
      </c>
      <c r="C88" s="46">
        <f>C218+C341</f>
        <v>0</v>
      </c>
      <c r="D88" s="46">
        <f>D218+D341</f>
        <v>0</v>
      </c>
      <c r="E88" s="46">
        <f t="shared" ref="E88:K89" si="43">E218+E341</f>
        <v>7519140</v>
      </c>
      <c r="F88" s="46">
        <f t="shared" si="43"/>
        <v>9748140</v>
      </c>
      <c r="G88" s="46">
        <f t="shared" si="43"/>
        <v>9747613</v>
      </c>
      <c r="H88" s="46">
        <f t="shared" si="43"/>
        <v>9747613</v>
      </c>
      <c r="I88" s="46">
        <f t="shared" si="43"/>
        <v>9747613</v>
      </c>
      <c r="J88" s="46">
        <f t="shared" si="43"/>
        <v>0</v>
      </c>
      <c r="K88" s="47">
        <f t="shared" si="43"/>
        <v>13430821</v>
      </c>
    </row>
    <row r="89" spans="1:11" ht="14.25">
      <c r="A89" s="44" t="s">
        <v>161</v>
      </c>
      <c r="B89" s="148" t="s">
        <v>162</v>
      </c>
      <c r="C89" s="46">
        <f>C219+C342</f>
        <v>0</v>
      </c>
      <c r="D89" s="46">
        <f>D219+D342</f>
        <v>0</v>
      </c>
      <c r="E89" s="46">
        <f t="shared" si="43"/>
        <v>0</v>
      </c>
      <c r="F89" s="46">
        <f t="shared" si="43"/>
        <v>0</v>
      </c>
      <c r="G89" s="46">
        <f t="shared" si="43"/>
        <v>0</v>
      </c>
      <c r="H89" s="46">
        <f t="shared" si="43"/>
        <v>0</v>
      </c>
      <c r="I89" s="46">
        <f t="shared" si="43"/>
        <v>0</v>
      </c>
      <c r="J89" s="46">
        <f t="shared" si="43"/>
        <v>0</v>
      </c>
      <c r="K89" s="47">
        <f t="shared" si="43"/>
        <v>0</v>
      </c>
    </row>
    <row r="90" spans="1:11" ht="28.5">
      <c r="A90" s="44" t="s">
        <v>163</v>
      </c>
      <c r="B90" s="148" t="s">
        <v>164</v>
      </c>
      <c r="C90" s="46">
        <f>C91</f>
        <v>0</v>
      </c>
      <c r="D90" s="46">
        <f t="shared" ref="D90:K90" si="44">D91</f>
        <v>1000</v>
      </c>
      <c r="E90" s="46">
        <f t="shared" si="44"/>
        <v>11451626</v>
      </c>
      <c r="F90" s="46">
        <f t="shared" si="44"/>
        <v>11438277</v>
      </c>
      <c r="G90" s="46">
        <f t="shared" si="44"/>
        <v>11170463</v>
      </c>
      <c r="H90" s="46">
        <f t="shared" si="44"/>
        <v>11170463</v>
      </c>
      <c r="I90" s="46">
        <f t="shared" si="44"/>
        <v>11170463</v>
      </c>
      <c r="J90" s="46">
        <f t="shared" si="44"/>
        <v>0</v>
      </c>
      <c r="K90" s="46">
        <f t="shared" si="44"/>
        <v>11492029</v>
      </c>
    </row>
    <row r="91" spans="1:11" ht="28.5">
      <c r="A91" s="44" t="s">
        <v>165</v>
      </c>
      <c r="B91" s="148" t="s">
        <v>166</v>
      </c>
      <c r="C91" s="46">
        <f>C220+C343</f>
        <v>0</v>
      </c>
      <c r="D91" s="46">
        <f>D220+D343</f>
        <v>1000</v>
      </c>
      <c r="E91" s="46">
        <f>E220+E343</f>
        <v>11451626</v>
      </c>
      <c r="F91" s="46">
        <f t="shared" ref="F91:K91" si="45">F220+F343</f>
        <v>11438277</v>
      </c>
      <c r="G91" s="46">
        <f t="shared" si="45"/>
        <v>11170463</v>
      </c>
      <c r="H91" s="46">
        <f t="shared" si="45"/>
        <v>11170463</v>
      </c>
      <c r="I91" s="46">
        <f>I220+I343</f>
        <v>11170463</v>
      </c>
      <c r="J91" s="46">
        <f t="shared" si="45"/>
        <v>0</v>
      </c>
      <c r="K91" s="46">
        <f t="shared" si="45"/>
        <v>11492029</v>
      </c>
    </row>
    <row r="92" spans="1:11" ht="45">
      <c r="A92" s="32" t="s">
        <v>167</v>
      </c>
      <c r="B92" s="151"/>
      <c r="C92" s="34">
        <f>C93+C103</f>
        <v>97034060</v>
      </c>
      <c r="D92" s="34">
        <f>D93+D103</f>
        <v>89911030</v>
      </c>
      <c r="E92" s="34">
        <f t="shared" ref="E92:K92" si="46">E93+E103</f>
        <v>142173655</v>
      </c>
      <c r="F92" s="34">
        <f t="shared" si="46"/>
        <v>139365002</v>
      </c>
      <c r="G92" s="34">
        <f t="shared" si="46"/>
        <v>112499526</v>
      </c>
      <c r="H92" s="34">
        <f t="shared" si="46"/>
        <v>112499526</v>
      </c>
      <c r="I92" s="34">
        <f t="shared" si="46"/>
        <v>112499526</v>
      </c>
      <c r="J92" s="34">
        <f t="shared" si="46"/>
        <v>0</v>
      </c>
      <c r="K92" s="35">
        <f t="shared" si="46"/>
        <v>48434490</v>
      </c>
    </row>
    <row r="93" spans="1:11" ht="60">
      <c r="A93" s="36" t="s">
        <v>168</v>
      </c>
      <c r="B93" s="146" t="s">
        <v>169</v>
      </c>
      <c r="C93" s="38">
        <f>C94+C97+C100+C101+C102</f>
        <v>97034060</v>
      </c>
      <c r="D93" s="38">
        <f>D94+D97+D100+D101+D102</f>
        <v>89911030</v>
      </c>
      <c r="E93" s="38">
        <f t="shared" ref="E93:J93" si="47">E94+E97+E100+E101+E102</f>
        <v>134028549</v>
      </c>
      <c r="F93" s="38">
        <f t="shared" si="47"/>
        <v>129709896</v>
      </c>
      <c r="G93" s="38">
        <f t="shared" si="47"/>
        <v>102850368</v>
      </c>
      <c r="H93" s="38">
        <f t="shared" si="47"/>
        <v>102850368</v>
      </c>
      <c r="I93" s="38">
        <f t="shared" si="47"/>
        <v>102850368</v>
      </c>
      <c r="J93" s="38">
        <f t="shared" si="47"/>
        <v>0</v>
      </c>
      <c r="K93" s="39">
        <f>K94+K97+K100+K101+K102</f>
        <v>38655696</v>
      </c>
    </row>
    <row r="94" spans="1:11" ht="27.75" customHeight="1">
      <c r="A94" s="56" t="s">
        <v>170</v>
      </c>
      <c r="B94" s="147" t="s">
        <v>171</v>
      </c>
      <c r="C94" s="42">
        <f>C95+C96</f>
        <v>44131300</v>
      </c>
      <c r="D94" s="42">
        <f>D95+D96</f>
        <v>43368435</v>
      </c>
      <c r="E94" s="42">
        <f t="shared" ref="E94:K94" si="48">E95+E96</f>
        <v>44131300</v>
      </c>
      <c r="F94" s="42">
        <f t="shared" si="48"/>
        <v>43368435</v>
      </c>
      <c r="G94" s="42">
        <f t="shared" si="48"/>
        <v>22258890</v>
      </c>
      <c r="H94" s="42">
        <f t="shared" si="48"/>
        <v>22258890</v>
      </c>
      <c r="I94" s="42">
        <f t="shared" si="48"/>
        <v>22258890</v>
      </c>
      <c r="J94" s="42">
        <f t="shared" si="48"/>
        <v>0</v>
      </c>
      <c r="K94" s="43">
        <f t="shared" si="48"/>
        <v>615921</v>
      </c>
    </row>
    <row r="95" spans="1:11" ht="14.25">
      <c r="A95" s="44" t="s">
        <v>172</v>
      </c>
      <c r="B95" s="148" t="s">
        <v>173</v>
      </c>
      <c r="C95" s="46">
        <f>C224+C347</f>
        <v>0</v>
      </c>
      <c r="D95" s="46">
        <f>D224+D347</f>
        <v>0</v>
      </c>
      <c r="E95" s="46">
        <f t="shared" ref="E95:K95" si="49">E224+E347</f>
        <v>0</v>
      </c>
      <c r="F95" s="46">
        <f t="shared" si="49"/>
        <v>0</v>
      </c>
      <c r="G95" s="46">
        <f t="shared" si="49"/>
        <v>0</v>
      </c>
      <c r="H95" s="46">
        <f t="shared" si="49"/>
        <v>0</v>
      </c>
      <c r="I95" s="46">
        <f t="shared" si="49"/>
        <v>0</v>
      </c>
      <c r="J95" s="46">
        <f t="shared" si="49"/>
        <v>0</v>
      </c>
      <c r="K95" s="47">
        <f t="shared" si="49"/>
        <v>0</v>
      </c>
    </row>
    <row r="96" spans="1:11" ht="14.25">
      <c r="A96" s="44" t="s">
        <v>174</v>
      </c>
      <c r="B96" s="148" t="s">
        <v>175</v>
      </c>
      <c r="C96" s="46">
        <f>C225+C348</f>
        <v>44131300</v>
      </c>
      <c r="D96" s="46">
        <f t="shared" ref="D96:K96" si="50">D225+D348</f>
        <v>43368435</v>
      </c>
      <c r="E96" s="46">
        <f t="shared" si="50"/>
        <v>44131300</v>
      </c>
      <c r="F96" s="46">
        <f t="shared" si="50"/>
        <v>43368435</v>
      </c>
      <c r="G96" s="46">
        <f t="shared" si="50"/>
        <v>22258890</v>
      </c>
      <c r="H96" s="46">
        <f t="shared" si="50"/>
        <v>22258890</v>
      </c>
      <c r="I96" s="46">
        <f t="shared" si="50"/>
        <v>22258890</v>
      </c>
      <c r="J96" s="46">
        <f t="shared" si="50"/>
        <v>0</v>
      </c>
      <c r="K96" s="47">
        <f t="shared" si="50"/>
        <v>615921</v>
      </c>
    </row>
    <row r="97" spans="1:11" ht="38.25">
      <c r="A97" s="23" t="s">
        <v>176</v>
      </c>
      <c r="B97" s="147" t="s">
        <v>177</v>
      </c>
      <c r="C97" s="42">
        <f>C98+C99</f>
        <v>24808700</v>
      </c>
      <c r="D97" s="42">
        <f>D98+D99</f>
        <v>25025300</v>
      </c>
      <c r="E97" s="42">
        <f t="shared" ref="E97:K97" si="51">E98+E99</f>
        <v>35143700</v>
      </c>
      <c r="F97" s="42">
        <f t="shared" si="51"/>
        <v>35223272</v>
      </c>
      <c r="G97" s="42">
        <f t="shared" si="51"/>
        <v>30656200</v>
      </c>
      <c r="H97" s="42">
        <f t="shared" si="51"/>
        <v>30656200</v>
      </c>
      <c r="I97" s="42">
        <f t="shared" si="51"/>
        <v>30656200</v>
      </c>
      <c r="J97" s="42">
        <f t="shared" si="51"/>
        <v>0</v>
      </c>
      <c r="K97" s="43">
        <f t="shared" si="51"/>
        <v>226915</v>
      </c>
    </row>
    <row r="98" spans="1:11" ht="14.25">
      <c r="A98" s="44" t="s">
        <v>178</v>
      </c>
      <c r="B98" s="148" t="s">
        <v>179</v>
      </c>
      <c r="C98" s="46">
        <f t="shared" ref="C98:K100" si="52">C227+C350</f>
        <v>24808700</v>
      </c>
      <c r="D98" s="46">
        <f t="shared" si="52"/>
        <v>25025300</v>
      </c>
      <c r="E98" s="46">
        <f t="shared" si="52"/>
        <v>35143700</v>
      </c>
      <c r="F98" s="46">
        <f t="shared" si="52"/>
        <v>35223272</v>
      </c>
      <c r="G98" s="46">
        <f t="shared" si="52"/>
        <v>30656200</v>
      </c>
      <c r="H98" s="46">
        <f t="shared" si="52"/>
        <v>30656200</v>
      </c>
      <c r="I98" s="46">
        <f t="shared" si="52"/>
        <v>30656200</v>
      </c>
      <c r="J98" s="46">
        <f t="shared" si="52"/>
        <v>0</v>
      </c>
      <c r="K98" s="47">
        <f t="shared" si="52"/>
        <v>226915</v>
      </c>
    </row>
    <row r="99" spans="1:11" ht="14.25">
      <c r="A99" s="44" t="s">
        <v>180</v>
      </c>
      <c r="B99" s="148" t="s">
        <v>181</v>
      </c>
      <c r="C99" s="46">
        <f t="shared" si="52"/>
        <v>0</v>
      </c>
      <c r="D99" s="46">
        <f t="shared" si="52"/>
        <v>0</v>
      </c>
      <c r="E99" s="46">
        <f t="shared" si="52"/>
        <v>0</v>
      </c>
      <c r="F99" s="46">
        <f t="shared" si="52"/>
        <v>0</v>
      </c>
      <c r="G99" s="46">
        <f t="shared" si="52"/>
        <v>0</v>
      </c>
      <c r="H99" s="46">
        <f t="shared" si="52"/>
        <v>0</v>
      </c>
      <c r="I99" s="46">
        <f t="shared" si="52"/>
        <v>0</v>
      </c>
      <c r="J99" s="46">
        <f t="shared" si="52"/>
        <v>0</v>
      </c>
      <c r="K99" s="47">
        <f t="shared" si="52"/>
        <v>0</v>
      </c>
    </row>
    <row r="100" spans="1:11" ht="14.25">
      <c r="A100" s="44" t="s">
        <v>182</v>
      </c>
      <c r="B100" s="148" t="s">
        <v>183</v>
      </c>
      <c r="C100" s="46">
        <f>C229+C352</f>
        <v>7646320</v>
      </c>
      <c r="D100" s="46">
        <f t="shared" si="52"/>
        <v>2748500</v>
      </c>
      <c r="E100" s="46">
        <f t="shared" si="52"/>
        <v>15646320</v>
      </c>
      <c r="F100" s="46">
        <f t="shared" si="52"/>
        <v>12288500</v>
      </c>
      <c r="G100" s="46">
        <f t="shared" si="52"/>
        <v>12214433</v>
      </c>
      <c r="H100" s="46">
        <f t="shared" si="52"/>
        <v>12214433</v>
      </c>
      <c r="I100" s="46">
        <f>I229+I352</f>
        <v>12214433</v>
      </c>
      <c r="J100" s="46">
        <f>J229+J352</f>
        <v>0</v>
      </c>
      <c r="K100" s="47">
        <f t="shared" si="52"/>
        <v>12749930</v>
      </c>
    </row>
    <row r="101" spans="1:11" ht="14.25">
      <c r="A101" s="44" t="s">
        <v>184</v>
      </c>
      <c r="B101" s="148" t="s">
        <v>185</v>
      </c>
      <c r="C101" s="46">
        <f t="shared" ref="C101:K102" si="53">C230+C353</f>
        <v>0</v>
      </c>
      <c r="D101" s="46">
        <f t="shared" si="53"/>
        <v>0</v>
      </c>
      <c r="E101" s="46">
        <f t="shared" si="53"/>
        <v>0</v>
      </c>
      <c r="F101" s="46">
        <f t="shared" si="53"/>
        <v>0</v>
      </c>
      <c r="G101" s="46">
        <f t="shared" si="53"/>
        <v>0</v>
      </c>
      <c r="H101" s="46">
        <f t="shared" si="53"/>
        <v>0</v>
      </c>
      <c r="I101" s="46">
        <f t="shared" si="53"/>
        <v>0</v>
      </c>
      <c r="J101" s="46">
        <f t="shared" si="53"/>
        <v>0</v>
      </c>
      <c r="K101" s="47">
        <f t="shared" si="53"/>
        <v>0</v>
      </c>
    </row>
    <row r="102" spans="1:11" ht="28.5">
      <c r="A102" s="44" t="s">
        <v>186</v>
      </c>
      <c r="B102" s="148" t="s">
        <v>187</v>
      </c>
      <c r="C102" s="46">
        <f t="shared" si="53"/>
        <v>20447740</v>
      </c>
      <c r="D102" s="46">
        <f t="shared" si="53"/>
        <v>18768795</v>
      </c>
      <c r="E102" s="46">
        <f t="shared" si="53"/>
        <v>39107229</v>
      </c>
      <c r="F102" s="46">
        <f t="shared" si="53"/>
        <v>38829689</v>
      </c>
      <c r="G102" s="46">
        <f t="shared" si="53"/>
        <v>37720845</v>
      </c>
      <c r="H102" s="46">
        <f t="shared" si="53"/>
        <v>37720845</v>
      </c>
      <c r="I102" s="46">
        <f>I231+I354</f>
        <v>37720845</v>
      </c>
      <c r="J102" s="46">
        <f>J231+J354</f>
        <v>0</v>
      </c>
      <c r="K102" s="47">
        <f t="shared" si="53"/>
        <v>25062930</v>
      </c>
    </row>
    <row r="103" spans="1:11" ht="30">
      <c r="A103" s="36" t="s">
        <v>188</v>
      </c>
      <c r="B103" s="146" t="s">
        <v>189</v>
      </c>
      <c r="C103" s="38">
        <f>C104+C105+C108+C109</f>
        <v>0</v>
      </c>
      <c r="D103" s="38">
        <f>D104+D105+D108+D109</f>
        <v>0</v>
      </c>
      <c r="E103" s="38">
        <f>E104+E105+E108+E109</f>
        <v>8145106</v>
      </c>
      <c r="F103" s="38">
        <f t="shared" ref="F103:K103" si="54">F104+F105+F108+F109</f>
        <v>9655106</v>
      </c>
      <c r="G103" s="38">
        <f t="shared" si="54"/>
        <v>9649158</v>
      </c>
      <c r="H103" s="38">
        <f t="shared" si="54"/>
        <v>9649158</v>
      </c>
      <c r="I103" s="38">
        <f t="shared" si="54"/>
        <v>9649158</v>
      </c>
      <c r="J103" s="38">
        <f t="shared" si="54"/>
        <v>0</v>
      </c>
      <c r="K103" s="38">
        <f t="shared" si="54"/>
        <v>9778794</v>
      </c>
    </row>
    <row r="104" spans="1:11" ht="14.25">
      <c r="A104" s="44" t="s">
        <v>190</v>
      </c>
      <c r="B104" s="149" t="s">
        <v>191</v>
      </c>
      <c r="C104" s="46">
        <f>C233+C356</f>
        <v>0</v>
      </c>
      <c r="D104" s="46">
        <f>D233+D356</f>
        <v>0</v>
      </c>
      <c r="E104" s="46">
        <f t="shared" ref="E104:K104" si="55">E233+E356</f>
        <v>0</v>
      </c>
      <c r="F104" s="46">
        <f t="shared" si="55"/>
        <v>0</v>
      </c>
      <c r="G104" s="46">
        <f t="shared" si="55"/>
        <v>0</v>
      </c>
      <c r="H104" s="46">
        <f t="shared" si="55"/>
        <v>0</v>
      </c>
      <c r="I104" s="46">
        <f t="shared" si="55"/>
        <v>0</v>
      </c>
      <c r="J104" s="46">
        <f t="shared" si="55"/>
        <v>0</v>
      </c>
      <c r="K104" s="46">
        <f t="shared" si="55"/>
        <v>0</v>
      </c>
    </row>
    <row r="105" spans="1:11" ht="28.5">
      <c r="A105" s="40" t="s">
        <v>192</v>
      </c>
      <c r="B105" s="147" t="s">
        <v>193</v>
      </c>
      <c r="C105" s="42">
        <f>C106+C107</f>
        <v>0</v>
      </c>
      <c r="D105" s="42">
        <f>D106+D107</f>
        <v>0</v>
      </c>
      <c r="E105" s="42">
        <f t="shared" ref="E105:K105" si="56">E106+E107</f>
        <v>8145106</v>
      </c>
      <c r="F105" s="42">
        <f t="shared" si="56"/>
        <v>9655106</v>
      </c>
      <c r="G105" s="42">
        <f t="shared" si="56"/>
        <v>9649158</v>
      </c>
      <c r="H105" s="42">
        <f t="shared" si="56"/>
        <v>9649158</v>
      </c>
      <c r="I105" s="42">
        <f t="shared" si="56"/>
        <v>9649158</v>
      </c>
      <c r="J105" s="42">
        <f t="shared" si="56"/>
        <v>0</v>
      </c>
      <c r="K105" s="43">
        <f t="shared" si="56"/>
        <v>9761501</v>
      </c>
    </row>
    <row r="106" spans="1:11" ht="14.25">
      <c r="A106" s="44" t="s">
        <v>194</v>
      </c>
      <c r="B106" s="148" t="s">
        <v>195</v>
      </c>
      <c r="C106" s="46">
        <f t="shared" ref="C106:K109" si="57">C235+C358</f>
        <v>0</v>
      </c>
      <c r="D106" s="46">
        <f t="shared" si="57"/>
        <v>0</v>
      </c>
      <c r="E106" s="46">
        <f t="shared" si="57"/>
        <v>7815106</v>
      </c>
      <c r="F106" s="46">
        <f t="shared" si="57"/>
        <v>9484731</v>
      </c>
      <c r="G106" s="46">
        <f t="shared" si="57"/>
        <v>9478783</v>
      </c>
      <c r="H106" s="46">
        <f t="shared" si="57"/>
        <v>9478783</v>
      </c>
      <c r="I106" s="46">
        <f t="shared" si="57"/>
        <v>9478783</v>
      </c>
      <c r="J106" s="46">
        <f t="shared" si="57"/>
        <v>0</v>
      </c>
      <c r="K106" s="47">
        <f t="shared" si="57"/>
        <v>9591126</v>
      </c>
    </row>
    <row r="107" spans="1:11" ht="28.5">
      <c r="A107" s="44" t="s">
        <v>196</v>
      </c>
      <c r="B107" s="148" t="s">
        <v>197</v>
      </c>
      <c r="C107" s="46">
        <f t="shared" si="57"/>
        <v>0</v>
      </c>
      <c r="D107" s="46">
        <f t="shared" si="57"/>
        <v>0</v>
      </c>
      <c r="E107" s="46">
        <f t="shared" si="57"/>
        <v>330000</v>
      </c>
      <c r="F107" s="46">
        <f t="shared" si="57"/>
        <v>170375</v>
      </c>
      <c r="G107" s="46">
        <f t="shared" si="57"/>
        <v>170375</v>
      </c>
      <c r="H107" s="46">
        <f t="shared" si="57"/>
        <v>170375</v>
      </c>
      <c r="I107" s="46">
        <f t="shared" si="57"/>
        <v>170375</v>
      </c>
      <c r="J107" s="46">
        <f t="shared" si="57"/>
        <v>0</v>
      </c>
      <c r="K107" s="47">
        <f t="shared" si="57"/>
        <v>170375</v>
      </c>
    </row>
    <row r="108" spans="1:11" ht="14.25" hidden="1">
      <c r="A108" s="44" t="s">
        <v>198</v>
      </c>
      <c r="B108" s="148" t="s">
        <v>199</v>
      </c>
      <c r="C108" s="46">
        <f t="shared" si="57"/>
        <v>0</v>
      </c>
      <c r="D108" s="46">
        <f t="shared" si="57"/>
        <v>0</v>
      </c>
      <c r="E108" s="46">
        <f t="shared" si="57"/>
        <v>0</v>
      </c>
      <c r="F108" s="46">
        <f t="shared" si="57"/>
        <v>0</v>
      </c>
      <c r="G108" s="46">
        <f t="shared" si="57"/>
        <v>0</v>
      </c>
      <c r="H108" s="46">
        <f t="shared" si="57"/>
        <v>0</v>
      </c>
      <c r="I108" s="46">
        <f t="shared" si="57"/>
        <v>0</v>
      </c>
      <c r="J108" s="46">
        <f t="shared" si="57"/>
        <v>0</v>
      </c>
      <c r="K108" s="47">
        <f t="shared" si="57"/>
        <v>0</v>
      </c>
    </row>
    <row r="109" spans="1:11" ht="28.5">
      <c r="A109" s="44" t="s">
        <v>200</v>
      </c>
      <c r="B109" s="148" t="s">
        <v>201</v>
      </c>
      <c r="C109" s="46">
        <f t="shared" si="57"/>
        <v>0</v>
      </c>
      <c r="D109" s="46">
        <f t="shared" si="57"/>
        <v>0</v>
      </c>
      <c r="E109" s="46">
        <f>E361</f>
        <v>0</v>
      </c>
      <c r="F109" s="46">
        <f t="shared" ref="F109:K109" si="58">F361</f>
        <v>0</v>
      </c>
      <c r="G109" s="46">
        <f t="shared" si="58"/>
        <v>0</v>
      </c>
      <c r="H109" s="46">
        <f t="shared" si="58"/>
        <v>0</v>
      </c>
      <c r="I109" s="46">
        <f t="shared" si="58"/>
        <v>0</v>
      </c>
      <c r="J109" s="46">
        <f t="shared" si="58"/>
        <v>0</v>
      </c>
      <c r="K109" s="46">
        <f t="shared" si="58"/>
        <v>17293</v>
      </c>
    </row>
    <row r="110" spans="1:11" ht="30">
      <c r="A110" s="32" t="s">
        <v>202</v>
      </c>
      <c r="B110" s="145" t="s">
        <v>203</v>
      </c>
      <c r="C110" s="34">
        <f>C111+C117+C121+C126+C134</f>
        <v>77592950</v>
      </c>
      <c r="D110" s="34">
        <f>D111+D117+D121+D126+D134</f>
        <v>92004960</v>
      </c>
      <c r="E110" s="34">
        <f t="shared" ref="E110:K110" si="59">E111+E117+E121+E126+E134</f>
        <v>148540290</v>
      </c>
      <c r="F110" s="34">
        <f t="shared" si="59"/>
        <v>162453300</v>
      </c>
      <c r="G110" s="34">
        <f t="shared" si="59"/>
        <v>156142213</v>
      </c>
      <c r="H110" s="34">
        <f t="shared" si="59"/>
        <v>156142213</v>
      </c>
      <c r="I110" s="34">
        <f t="shared" si="59"/>
        <v>156142213</v>
      </c>
      <c r="J110" s="34">
        <f t="shared" si="59"/>
        <v>0</v>
      </c>
      <c r="K110" s="35">
        <f t="shared" si="59"/>
        <v>94639389</v>
      </c>
    </row>
    <row r="111" spans="1:11" ht="30" hidden="1">
      <c r="A111" s="36" t="s">
        <v>204</v>
      </c>
      <c r="B111" s="146" t="s">
        <v>205</v>
      </c>
      <c r="C111" s="38">
        <f>C112</f>
        <v>0</v>
      </c>
      <c r="D111" s="38">
        <f>D112</f>
        <v>0</v>
      </c>
      <c r="E111" s="38">
        <f t="shared" ref="E111:K111" si="60">E112</f>
        <v>0</v>
      </c>
      <c r="F111" s="38">
        <f t="shared" si="60"/>
        <v>0</v>
      </c>
      <c r="G111" s="38">
        <f t="shared" si="60"/>
        <v>0</v>
      </c>
      <c r="H111" s="38">
        <f t="shared" si="60"/>
        <v>0</v>
      </c>
      <c r="I111" s="38">
        <f t="shared" si="60"/>
        <v>0</v>
      </c>
      <c r="J111" s="38">
        <f t="shared" si="60"/>
        <v>0</v>
      </c>
      <c r="K111" s="39">
        <f t="shared" si="60"/>
        <v>0</v>
      </c>
    </row>
    <row r="112" spans="1:11" ht="57" hidden="1">
      <c r="A112" s="56" t="s">
        <v>206</v>
      </c>
      <c r="B112" s="147" t="s">
        <v>207</v>
      </c>
      <c r="C112" s="42">
        <f>C113+C114+C115+C116</f>
        <v>0</v>
      </c>
      <c r="D112" s="42">
        <f>D113+D114+D115+D116</f>
        <v>0</v>
      </c>
      <c r="E112" s="42">
        <f t="shared" ref="E112:K112" si="61">E113+E114+E115+E116</f>
        <v>0</v>
      </c>
      <c r="F112" s="42">
        <f t="shared" si="61"/>
        <v>0</v>
      </c>
      <c r="G112" s="42">
        <f t="shared" si="61"/>
        <v>0</v>
      </c>
      <c r="H112" s="42">
        <f t="shared" si="61"/>
        <v>0</v>
      </c>
      <c r="I112" s="42">
        <f t="shared" si="61"/>
        <v>0</v>
      </c>
      <c r="J112" s="42">
        <f t="shared" si="61"/>
        <v>0</v>
      </c>
      <c r="K112" s="43">
        <f t="shared" si="61"/>
        <v>0</v>
      </c>
    </row>
    <row r="113" spans="1:11" ht="28.5" hidden="1">
      <c r="A113" s="44" t="s">
        <v>208</v>
      </c>
      <c r="B113" s="148" t="s">
        <v>209</v>
      </c>
      <c r="C113" s="46">
        <f t="shared" ref="C113:K116" si="62">C241+C365</f>
        <v>0</v>
      </c>
      <c r="D113" s="46">
        <f t="shared" si="62"/>
        <v>0</v>
      </c>
      <c r="E113" s="46">
        <f t="shared" si="62"/>
        <v>0</v>
      </c>
      <c r="F113" s="46">
        <f t="shared" si="62"/>
        <v>0</v>
      </c>
      <c r="G113" s="46">
        <f t="shared" si="62"/>
        <v>0</v>
      </c>
      <c r="H113" s="46">
        <f t="shared" si="62"/>
        <v>0</v>
      </c>
      <c r="I113" s="46">
        <f t="shared" si="62"/>
        <v>0</v>
      </c>
      <c r="J113" s="46">
        <f t="shared" si="62"/>
        <v>0</v>
      </c>
      <c r="K113" s="47">
        <f t="shared" si="62"/>
        <v>0</v>
      </c>
    </row>
    <row r="114" spans="1:11" ht="14.25" hidden="1">
      <c r="A114" s="44" t="s">
        <v>210</v>
      </c>
      <c r="B114" s="148" t="s">
        <v>211</v>
      </c>
      <c r="C114" s="46">
        <f t="shared" si="62"/>
        <v>0</v>
      </c>
      <c r="D114" s="46">
        <f t="shared" si="62"/>
        <v>0</v>
      </c>
      <c r="E114" s="46">
        <f t="shared" si="62"/>
        <v>0</v>
      </c>
      <c r="F114" s="46">
        <f t="shared" si="62"/>
        <v>0</v>
      </c>
      <c r="G114" s="46">
        <f t="shared" si="62"/>
        <v>0</v>
      </c>
      <c r="H114" s="46">
        <f t="shared" si="62"/>
        <v>0</v>
      </c>
      <c r="I114" s="46">
        <f t="shared" si="62"/>
        <v>0</v>
      </c>
      <c r="J114" s="46">
        <f t="shared" si="62"/>
        <v>0</v>
      </c>
      <c r="K114" s="47">
        <f t="shared" si="62"/>
        <v>0</v>
      </c>
    </row>
    <row r="115" spans="1:11" ht="28.5" hidden="1">
      <c r="A115" s="44" t="s">
        <v>212</v>
      </c>
      <c r="B115" s="148" t="s">
        <v>213</v>
      </c>
      <c r="C115" s="46">
        <f t="shared" si="62"/>
        <v>0</v>
      </c>
      <c r="D115" s="46">
        <f t="shared" si="62"/>
        <v>0</v>
      </c>
      <c r="E115" s="46">
        <f t="shared" si="62"/>
        <v>0</v>
      </c>
      <c r="F115" s="46">
        <f t="shared" si="62"/>
        <v>0</v>
      </c>
      <c r="G115" s="46">
        <f t="shared" si="62"/>
        <v>0</v>
      </c>
      <c r="H115" s="46">
        <f t="shared" si="62"/>
        <v>0</v>
      </c>
      <c r="I115" s="46">
        <f t="shared" si="62"/>
        <v>0</v>
      </c>
      <c r="J115" s="46">
        <f t="shared" si="62"/>
        <v>0</v>
      </c>
      <c r="K115" s="47">
        <f t="shared" si="62"/>
        <v>0</v>
      </c>
    </row>
    <row r="116" spans="1:11" ht="28.5" hidden="1">
      <c r="A116" s="44" t="s">
        <v>214</v>
      </c>
      <c r="B116" s="148" t="s">
        <v>215</v>
      </c>
      <c r="C116" s="46">
        <f t="shared" si="62"/>
        <v>0</v>
      </c>
      <c r="D116" s="46">
        <f t="shared" si="62"/>
        <v>0</v>
      </c>
      <c r="E116" s="46">
        <f t="shared" si="62"/>
        <v>0</v>
      </c>
      <c r="F116" s="46">
        <f t="shared" si="62"/>
        <v>0</v>
      </c>
      <c r="G116" s="46">
        <f t="shared" si="62"/>
        <v>0</v>
      </c>
      <c r="H116" s="46">
        <f t="shared" si="62"/>
        <v>0</v>
      </c>
      <c r="I116" s="46">
        <f t="shared" si="62"/>
        <v>0</v>
      </c>
      <c r="J116" s="46">
        <f t="shared" si="62"/>
        <v>0</v>
      </c>
      <c r="K116" s="47">
        <f t="shared" si="62"/>
        <v>0</v>
      </c>
    </row>
    <row r="117" spans="1:11" ht="30" hidden="1">
      <c r="A117" s="36" t="s">
        <v>216</v>
      </c>
      <c r="B117" s="146" t="s">
        <v>217</v>
      </c>
      <c r="C117" s="38">
        <f>C118+C119+C120</f>
        <v>0</v>
      </c>
      <c r="D117" s="38">
        <f>D118+D119+D120</f>
        <v>0</v>
      </c>
      <c r="E117" s="38">
        <f t="shared" ref="E117:K117" si="63">E118+E119+E120</f>
        <v>0</v>
      </c>
      <c r="F117" s="38">
        <f t="shared" si="63"/>
        <v>0</v>
      </c>
      <c r="G117" s="38">
        <f t="shared" si="63"/>
        <v>0</v>
      </c>
      <c r="H117" s="38">
        <f t="shared" si="63"/>
        <v>0</v>
      </c>
      <c r="I117" s="38">
        <f t="shared" si="63"/>
        <v>0</v>
      </c>
      <c r="J117" s="38">
        <f t="shared" si="63"/>
        <v>0</v>
      </c>
      <c r="K117" s="39">
        <f t="shared" si="63"/>
        <v>0</v>
      </c>
    </row>
    <row r="118" spans="1:11" ht="14.25" hidden="1">
      <c r="A118" s="44" t="s">
        <v>218</v>
      </c>
      <c r="B118" s="149" t="s">
        <v>219</v>
      </c>
      <c r="C118" s="46">
        <f t="shared" ref="C118:K120" si="64">C246+C370</f>
        <v>0</v>
      </c>
      <c r="D118" s="46">
        <f t="shared" si="64"/>
        <v>0</v>
      </c>
      <c r="E118" s="46">
        <f t="shared" si="64"/>
        <v>0</v>
      </c>
      <c r="F118" s="46">
        <f t="shared" si="64"/>
        <v>0</v>
      </c>
      <c r="G118" s="46">
        <f t="shared" si="64"/>
        <v>0</v>
      </c>
      <c r="H118" s="46">
        <f t="shared" si="64"/>
        <v>0</v>
      </c>
      <c r="I118" s="46">
        <f t="shared" si="64"/>
        <v>0</v>
      </c>
      <c r="J118" s="46">
        <f t="shared" si="64"/>
        <v>0</v>
      </c>
      <c r="K118" s="47">
        <f t="shared" si="64"/>
        <v>0</v>
      </c>
    </row>
    <row r="119" spans="1:11" ht="14.25" hidden="1">
      <c r="A119" s="44" t="s">
        <v>220</v>
      </c>
      <c r="B119" s="148" t="s">
        <v>221</v>
      </c>
      <c r="C119" s="46">
        <f t="shared" si="64"/>
        <v>0</v>
      </c>
      <c r="D119" s="46">
        <f t="shared" si="64"/>
        <v>0</v>
      </c>
      <c r="E119" s="46">
        <f t="shared" si="64"/>
        <v>0</v>
      </c>
      <c r="F119" s="46">
        <f t="shared" si="64"/>
        <v>0</v>
      </c>
      <c r="G119" s="46">
        <f t="shared" si="64"/>
        <v>0</v>
      </c>
      <c r="H119" s="46">
        <f t="shared" si="64"/>
        <v>0</v>
      </c>
      <c r="I119" s="46">
        <f t="shared" si="64"/>
        <v>0</v>
      </c>
      <c r="J119" s="46">
        <f t="shared" si="64"/>
        <v>0</v>
      </c>
      <c r="K119" s="47">
        <f t="shared" si="64"/>
        <v>0</v>
      </c>
    </row>
    <row r="120" spans="1:11" ht="28.5" hidden="1">
      <c r="A120" s="44" t="s">
        <v>222</v>
      </c>
      <c r="B120" s="148" t="s">
        <v>223</v>
      </c>
      <c r="C120" s="46">
        <f t="shared" si="64"/>
        <v>0</v>
      </c>
      <c r="D120" s="46">
        <f t="shared" si="64"/>
        <v>0</v>
      </c>
      <c r="E120" s="46">
        <f t="shared" si="64"/>
        <v>0</v>
      </c>
      <c r="F120" s="46">
        <f t="shared" si="64"/>
        <v>0</v>
      </c>
      <c r="G120" s="46">
        <f t="shared" si="64"/>
        <v>0</v>
      </c>
      <c r="H120" s="46">
        <f t="shared" si="64"/>
        <v>0</v>
      </c>
      <c r="I120" s="46">
        <f t="shared" si="64"/>
        <v>0</v>
      </c>
      <c r="J120" s="46">
        <f t="shared" si="64"/>
        <v>0</v>
      </c>
      <c r="K120" s="47">
        <f t="shared" si="64"/>
        <v>0</v>
      </c>
    </row>
    <row r="121" spans="1:11" ht="45">
      <c r="A121" s="36" t="s">
        <v>224</v>
      </c>
      <c r="B121" s="146" t="s">
        <v>225</v>
      </c>
      <c r="C121" s="38">
        <f>C122</f>
        <v>0</v>
      </c>
      <c r="D121" s="38">
        <f>D122</f>
        <v>0</v>
      </c>
      <c r="E121" s="38">
        <f t="shared" ref="E121:K121" si="65">E122</f>
        <v>1300000</v>
      </c>
      <c r="F121" s="38">
        <f t="shared" si="65"/>
        <v>1440000</v>
      </c>
      <c r="G121" s="38">
        <f t="shared" si="65"/>
        <v>1378625</v>
      </c>
      <c r="H121" s="38">
        <f t="shared" si="65"/>
        <v>1378625</v>
      </c>
      <c r="I121" s="38">
        <f t="shared" si="65"/>
        <v>1378625</v>
      </c>
      <c r="J121" s="38">
        <f t="shared" si="65"/>
        <v>0</v>
      </c>
      <c r="K121" s="39">
        <f t="shared" si="65"/>
        <v>1431725</v>
      </c>
    </row>
    <row r="122" spans="1:11" ht="28.5">
      <c r="A122" s="56" t="s">
        <v>226</v>
      </c>
      <c r="B122" s="147" t="s">
        <v>227</v>
      </c>
      <c r="C122" s="42">
        <f>C123+C124+C125</f>
        <v>0</v>
      </c>
      <c r="D122" s="42">
        <f>D123+D124+D125</f>
        <v>0</v>
      </c>
      <c r="E122" s="42">
        <f t="shared" ref="E122:K122" si="66">E123+E124+E125</f>
        <v>1300000</v>
      </c>
      <c r="F122" s="42">
        <f t="shared" si="66"/>
        <v>1440000</v>
      </c>
      <c r="G122" s="42">
        <f t="shared" si="66"/>
        <v>1378625</v>
      </c>
      <c r="H122" s="42">
        <f t="shared" si="66"/>
        <v>1378625</v>
      </c>
      <c r="I122" s="42">
        <f t="shared" si="66"/>
        <v>1378625</v>
      </c>
      <c r="J122" s="42">
        <f t="shared" si="66"/>
        <v>0</v>
      </c>
      <c r="K122" s="43">
        <f t="shared" si="66"/>
        <v>1431725</v>
      </c>
    </row>
    <row r="123" spans="1:11" ht="28.5">
      <c r="A123" s="44" t="s">
        <v>228</v>
      </c>
      <c r="B123" s="149" t="s">
        <v>229</v>
      </c>
      <c r="C123" s="46">
        <f t="shared" ref="C123:K125" si="67">C251+C375</f>
        <v>0</v>
      </c>
      <c r="D123" s="46">
        <f t="shared" si="67"/>
        <v>0</v>
      </c>
      <c r="E123" s="46">
        <f t="shared" si="67"/>
        <v>0</v>
      </c>
      <c r="F123" s="46">
        <f t="shared" si="67"/>
        <v>0</v>
      </c>
      <c r="G123" s="46">
        <f t="shared" si="67"/>
        <v>0</v>
      </c>
      <c r="H123" s="46">
        <f t="shared" si="67"/>
        <v>0</v>
      </c>
      <c r="I123" s="46">
        <f t="shared" si="67"/>
        <v>0</v>
      </c>
      <c r="J123" s="46">
        <f t="shared" si="67"/>
        <v>0</v>
      </c>
      <c r="K123" s="47">
        <f t="shared" si="67"/>
        <v>0</v>
      </c>
    </row>
    <row r="124" spans="1:11" ht="14.25">
      <c r="A124" s="44" t="s">
        <v>230</v>
      </c>
      <c r="B124" s="149" t="s">
        <v>231</v>
      </c>
      <c r="C124" s="46">
        <f t="shared" si="67"/>
        <v>0</v>
      </c>
      <c r="D124" s="46">
        <f t="shared" si="67"/>
        <v>0</v>
      </c>
      <c r="E124" s="46">
        <f t="shared" si="67"/>
        <v>0</v>
      </c>
      <c r="F124" s="46">
        <f t="shared" si="67"/>
        <v>0</v>
      </c>
      <c r="G124" s="46">
        <f t="shared" si="67"/>
        <v>0</v>
      </c>
      <c r="H124" s="46">
        <f t="shared" si="67"/>
        <v>0</v>
      </c>
      <c r="I124" s="46">
        <f t="shared" si="67"/>
        <v>0</v>
      </c>
      <c r="J124" s="46">
        <f t="shared" si="67"/>
        <v>0</v>
      </c>
      <c r="K124" s="47">
        <f t="shared" si="67"/>
        <v>0</v>
      </c>
    </row>
    <row r="125" spans="1:11" ht="24.75" customHeight="1">
      <c r="A125" s="44" t="s">
        <v>232</v>
      </c>
      <c r="B125" s="148" t="s">
        <v>233</v>
      </c>
      <c r="C125" s="46">
        <f t="shared" si="67"/>
        <v>0</v>
      </c>
      <c r="D125" s="46">
        <f t="shared" si="67"/>
        <v>0</v>
      </c>
      <c r="E125" s="46">
        <f t="shared" si="67"/>
        <v>1300000</v>
      </c>
      <c r="F125" s="46">
        <f t="shared" si="67"/>
        <v>1440000</v>
      </c>
      <c r="G125" s="46">
        <f t="shared" si="67"/>
        <v>1378625</v>
      </c>
      <c r="H125" s="46">
        <f t="shared" si="67"/>
        <v>1378625</v>
      </c>
      <c r="I125" s="46">
        <f t="shared" si="67"/>
        <v>1378625</v>
      </c>
      <c r="J125" s="46">
        <f t="shared" si="67"/>
        <v>0</v>
      </c>
      <c r="K125" s="47">
        <f t="shared" si="67"/>
        <v>1431725</v>
      </c>
    </row>
    <row r="126" spans="1:11" ht="30">
      <c r="A126" s="36" t="s">
        <v>234</v>
      </c>
      <c r="B126" s="146" t="s">
        <v>235</v>
      </c>
      <c r="C126" s="38">
        <f>C127+C131+C133</f>
        <v>77592950</v>
      </c>
      <c r="D126" s="38">
        <f>D127+D131+D133</f>
        <v>92004960</v>
      </c>
      <c r="E126" s="38">
        <f t="shared" ref="E126:K126" si="68">E127+E131+E133</f>
        <v>147240290</v>
      </c>
      <c r="F126" s="38">
        <f t="shared" si="68"/>
        <v>161013300</v>
      </c>
      <c r="G126" s="38">
        <f t="shared" si="68"/>
        <v>154763588</v>
      </c>
      <c r="H126" s="38">
        <f t="shared" si="68"/>
        <v>154763588</v>
      </c>
      <c r="I126" s="38">
        <f t="shared" si="68"/>
        <v>154763588</v>
      </c>
      <c r="J126" s="38">
        <f t="shared" si="68"/>
        <v>0</v>
      </c>
      <c r="K126" s="39">
        <f t="shared" si="68"/>
        <v>93207664</v>
      </c>
    </row>
    <row r="127" spans="1:11" ht="28.5">
      <c r="A127" s="56" t="s">
        <v>236</v>
      </c>
      <c r="B127" s="147" t="s">
        <v>237</v>
      </c>
      <c r="C127" s="42">
        <f>C128+C129+C130</f>
        <v>75118100</v>
      </c>
      <c r="D127" s="42">
        <f>D128+D129+D130</f>
        <v>89534310</v>
      </c>
      <c r="E127" s="42">
        <f t="shared" ref="E127:K127" si="69">E128+E129+E130</f>
        <v>144765440</v>
      </c>
      <c r="F127" s="42">
        <f t="shared" si="69"/>
        <v>158542650</v>
      </c>
      <c r="G127" s="42">
        <f t="shared" si="69"/>
        <v>152710383</v>
      </c>
      <c r="H127" s="42">
        <f t="shared" si="69"/>
        <v>152710383</v>
      </c>
      <c r="I127" s="42">
        <f t="shared" si="69"/>
        <v>152710383</v>
      </c>
      <c r="J127" s="42">
        <f t="shared" si="69"/>
        <v>0</v>
      </c>
      <c r="K127" s="43">
        <f t="shared" si="69"/>
        <v>92693204</v>
      </c>
    </row>
    <row r="128" spans="1:11" ht="14.25">
      <c r="A128" s="44" t="s">
        <v>238</v>
      </c>
      <c r="B128" s="148" t="s">
        <v>239</v>
      </c>
      <c r="C128" s="46">
        <f t="shared" ref="C128:K130" si="70">C256+C380</f>
        <v>22275100</v>
      </c>
      <c r="D128" s="46">
        <f t="shared" si="70"/>
        <v>20842100</v>
      </c>
      <c r="E128" s="46">
        <f t="shared" si="70"/>
        <v>35015100</v>
      </c>
      <c r="F128" s="46">
        <f t="shared" si="70"/>
        <v>34523100</v>
      </c>
      <c r="G128" s="46">
        <f t="shared" si="70"/>
        <v>31112678</v>
      </c>
      <c r="H128" s="46">
        <f t="shared" si="70"/>
        <v>31112678</v>
      </c>
      <c r="I128" s="46">
        <f t="shared" si="70"/>
        <v>31112678</v>
      </c>
      <c r="J128" s="46">
        <f t="shared" si="70"/>
        <v>0</v>
      </c>
      <c r="K128" s="47">
        <f t="shared" si="70"/>
        <v>1088268</v>
      </c>
    </row>
    <row r="129" spans="1:11" ht="14.25">
      <c r="A129" s="44" t="s">
        <v>240</v>
      </c>
      <c r="B129" s="148" t="s">
        <v>241</v>
      </c>
      <c r="C129" s="46">
        <f t="shared" si="70"/>
        <v>43816000</v>
      </c>
      <c r="D129" s="46">
        <f t="shared" si="70"/>
        <v>58818210</v>
      </c>
      <c r="E129" s="46">
        <f t="shared" si="70"/>
        <v>56634000</v>
      </c>
      <c r="F129" s="46">
        <f t="shared" si="70"/>
        <v>69991210</v>
      </c>
      <c r="G129" s="46">
        <f t="shared" si="70"/>
        <v>67769290</v>
      </c>
      <c r="H129" s="46">
        <f t="shared" si="70"/>
        <v>67769290</v>
      </c>
      <c r="I129" s="46">
        <f t="shared" si="70"/>
        <v>67769290</v>
      </c>
      <c r="J129" s="46">
        <f t="shared" si="70"/>
        <v>0</v>
      </c>
      <c r="K129" s="47">
        <f t="shared" si="70"/>
        <v>26864534</v>
      </c>
    </row>
    <row r="130" spans="1:11" ht="14.25">
      <c r="A130" s="44" t="s">
        <v>242</v>
      </c>
      <c r="B130" s="148" t="s">
        <v>243</v>
      </c>
      <c r="C130" s="46">
        <f t="shared" si="70"/>
        <v>9027000</v>
      </c>
      <c r="D130" s="46">
        <f t="shared" si="70"/>
        <v>9874000</v>
      </c>
      <c r="E130" s="46">
        <f t="shared" si="70"/>
        <v>53116340</v>
      </c>
      <c r="F130" s="46">
        <f t="shared" si="70"/>
        <v>54028340</v>
      </c>
      <c r="G130" s="46">
        <f t="shared" si="70"/>
        <v>53828415</v>
      </c>
      <c r="H130" s="46">
        <f t="shared" si="70"/>
        <v>53828415</v>
      </c>
      <c r="I130" s="46">
        <f t="shared" si="70"/>
        <v>53828415</v>
      </c>
      <c r="J130" s="46">
        <f t="shared" si="70"/>
        <v>0</v>
      </c>
      <c r="K130" s="47">
        <f t="shared" si="70"/>
        <v>64740402</v>
      </c>
    </row>
    <row r="131" spans="1:11" ht="14.25">
      <c r="A131" s="56" t="s">
        <v>244</v>
      </c>
      <c r="B131" s="147" t="s">
        <v>245</v>
      </c>
      <c r="C131" s="42">
        <f>C132</f>
        <v>0</v>
      </c>
      <c r="D131" s="42">
        <f>D132</f>
        <v>0</v>
      </c>
      <c r="E131" s="42">
        <f t="shared" ref="E131:K131" si="71">E132</f>
        <v>0</v>
      </c>
      <c r="F131" s="42">
        <f t="shared" si="71"/>
        <v>0</v>
      </c>
      <c r="G131" s="42">
        <f t="shared" si="71"/>
        <v>0</v>
      </c>
      <c r="H131" s="42">
        <f t="shared" si="71"/>
        <v>0</v>
      </c>
      <c r="I131" s="42">
        <f t="shared" si="71"/>
        <v>0</v>
      </c>
      <c r="J131" s="42">
        <f t="shared" si="71"/>
        <v>0</v>
      </c>
      <c r="K131" s="43">
        <f t="shared" si="71"/>
        <v>0</v>
      </c>
    </row>
    <row r="132" spans="1:11" ht="14.25">
      <c r="A132" s="44" t="s">
        <v>246</v>
      </c>
      <c r="B132" s="148" t="s">
        <v>247</v>
      </c>
      <c r="C132" s="46">
        <f t="shared" ref="C132:K133" si="72">C260+C384</f>
        <v>0</v>
      </c>
      <c r="D132" s="46">
        <f t="shared" si="72"/>
        <v>0</v>
      </c>
      <c r="E132" s="46">
        <f t="shared" si="72"/>
        <v>0</v>
      </c>
      <c r="F132" s="46">
        <f t="shared" si="72"/>
        <v>0</v>
      </c>
      <c r="G132" s="46">
        <f t="shared" si="72"/>
        <v>0</v>
      </c>
      <c r="H132" s="46">
        <f t="shared" si="72"/>
        <v>0</v>
      </c>
      <c r="I132" s="46">
        <f t="shared" si="72"/>
        <v>0</v>
      </c>
      <c r="J132" s="46">
        <f t="shared" si="72"/>
        <v>0</v>
      </c>
      <c r="K132" s="47">
        <f t="shared" si="72"/>
        <v>0</v>
      </c>
    </row>
    <row r="133" spans="1:11" ht="14.25">
      <c r="A133" s="44" t="s">
        <v>248</v>
      </c>
      <c r="B133" s="148" t="s">
        <v>249</v>
      </c>
      <c r="C133" s="46">
        <f>C261+C385</f>
        <v>2474850</v>
      </c>
      <c r="D133" s="46">
        <f>D261+D385</f>
        <v>2470650</v>
      </c>
      <c r="E133" s="46">
        <f t="shared" si="72"/>
        <v>2474850</v>
      </c>
      <c r="F133" s="46">
        <f t="shared" si="72"/>
        <v>2470650</v>
      </c>
      <c r="G133" s="46">
        <f t="shared" si="72"/>
        <v>2053205</v>
      </c>
      <c r="H133" s="46">
        <f t="shared" si="72"/>
        <v>2053205</v>
      </c>
      <c r="I133" s="46">
        <f t="shared" si="72"/>
        <v>2053205</v>
      </c>
      <c r="J133" s="46">
        <f t="shared" si="72"/>
        <v>0</v>
      </c>
      <c r="K133" s="47">
        <f t="shared" si="72"/>
        <v>514460</v>
      </c>
    </row>
    <row r="134" spans="1:11" ht="18" hidden="1" customHeight="1">
      <c r="A134" s="36" t="s">
        <v>250</v>
      </c>
      <c r="B134" s="146" t="s">
        <v>251</v>
      </c>
      <c r="C134" s="37"/>
      <c r="D134" s="38">
        <f>D135+D136+D137+D138+D139</f>
        <v>0</v>
      </c>
      <c r="E134" s="38">
        <f t="shared" ref="E134:K134" si="73">E135+E136+E137+E138+E139</f>
        <v>0</v>
      </c>
      <c r="F134" s="38">
        <f t="shared" si="73"/>
        <v>0</v>
      </c>
      <c r="G134" s="38">
        <f t="shared" si="73"/>
        <v>0</v>
      </c>
      <c r="H134" s="38">
        <f t="shared" si="73"/>
        <v>0</v>
      </c>
      <c r="I134" s="38">
        <f t="shared" si="73"/>
        <v>0</v>
      </c>
      <c r="J134" s="38">
        <f t="shared" si="73"/>
        <v>0</v>
      </c>
      <c r="K134" s="39">
        <f t="shared" si="73"/>
        <v>0</v>
      </c>
    </row>
    <row r="135" spans="1:11" ht="14.25" hidden="1">
      <c r="A135" s="44" t="s">
        <v>252</v>
      </c>
      <c r="B135" s="148" t="s">
        <v>253</v>
      </c>
      <c r="C135" s="45"/>
      <c r="D135" s="46">
        <f t="shared" ref="D135:I139" si="74">D263+D387</f>
        <v>0</v>
      </c>
      <c r="E135" s="46">
        <f t="shared" si="74"/>
        <v>0</v>
      </c>
      <c r="F135" s="46">
        <f t="shared" si="74"/>
        <v>0</v>
      </c>
      <c r="G135" s="46">
        <f t="shared" si="74"/>
        <v>0</v>
      </c>
      <c r="H135" s="46">
        <f t="shared" si="74"/>
        <v>0</v>
      </c>
      <c r="I135" s="46">
        <f t="shared" si="74"/>
        <v>0</v>
      </c>
      <c r="J135" s="46"/>
      <c r="K135" s="47">
        <f>K263+K387</f>
        <v>0</v>
      </c>
    </row>
    <row r="136" spans="1:11" ht="14.25" hidden="1">
      <c r="A136" s="44" t="s">
        <v>254</v>
      </c>
      <c r="B136" s="148" t="s">
        <v>255</v>
      </c>
      <c r="C136" s="45"/>
      <c r="D136" s="46">
        <f t="shared" si="74"/>
        <v>0</v>
      </c>
      <c r="E136" s="46">
        <f t="shared" si="74"/>
        <v>0</v>
      </c>
      <c r="F136" s="46">
        <f t="shared" si="74"/>
        <v>0</v>
      </c>
      <c r="G136" s="46">
        <f t="shared" si="74"/>
        <v>0</v>
      </c>
      <c r="H136" s="46">
        <f t="shared" si="74"/>
        <v>0</v>
      </c>
      <c r="I136" s="46">
        <f t="shared" si="74"/>
        <v>0</v>
      </c>
      <c r="J136" s="46"/>
      <c r="K136" s="47">
        <f>K264+K388</f>
        <v>0</v>
      </c>
    </row>
    <row r="137" spans="1:11" ht="14.25" hidden="1">
      <c r="A137" s="44" t="s">
        <v>256</v>
      </c>
      <c r="B137" s="148" t="s">
        <v>257</v>
      </c>
      <c r="C137" s="45"/>
      <c r="D137" s="46">
        <f t="shared" si="74"/>
        <v>0</v>
      </c>
      <c r="E137" s="46">
        <f t="shared" si="74"/>
        <v>0</v>
      </c>
      <c r="F137" s="46">
        <f t="shared" si="74"/>
        <v>0</v>
      </c>
      <c r="G137" s="46">
        <f t="shared" si="74"/>
        <v>0</v>
      </c>
      <c r="H137" s="46">
        <f t="shared" si="74"/>
        <v>0</v>
      </c>
      <c r="I137" s="46">
        <f t="shared" si="74"/>
        <v>0</v>
      </c>
      <c r="J137" s="46"/>
      <c r="K137" s="47">
        <f>K265+K389</f>
        <v>0</v>
      </c>
    </row>
    <row r="138" spans="1:11" ht="14.25" hidden="1">
      <c r="A138" s="44" t="s">
        <v>258</v>
      </c>
      <c r="B138" s="148" t="s">
        <v>259</v>
      </c>
      <c r="C138" s="45"/>
      <c r="D138" s="46">
        <f t="shared" si="74"/>
        <v>0</v>
      </c>
      <c r="E138" s="46">
        <f t="shared" si="74"/>
        <v>0</v>
      </c>
      <c r="F138" s="46">
        <f t="shared" si="74"/>
        <v>0</v>
      </c>
      <c r="G138" s="46">
        <f t="shared" si="74"/>
        <v>0</v>
      </c>
      <c r="H138" s="46">
        <f t="shared" si="74"/>
        <v>0</v>
      </c>
      <c r="I138" s="46">
        <f t="shared" si="74"/>
        <v>0</v>
      </c>
      <c r="J138" s="46"/>
      <c r="K138" s="47">
        <f>K266+K390</f>
        <v>0</v>
      </c>
    </row>
    <row r="139" spans="1:11" ht="14.25" hidden="1">
      <c r="A139" s="44" t="s">
        <v>260</v>
      </c>
      <c r="B139" s="148" t="s">
        <v>261</v>
      </c>
      <c r="C139" s="45"/>
      <c r="D139" s="46">
        <f t="shared" si="74"/>
        <v>0</v>
      </c>
      <c r="E139" s="46">
        <f t="shared" si="74"/>
        <v>0</v>
      </c>
      <c r="F139" s="46">
        <f t="shared" si="74"/>
        <v>0</v>
      </c>
      <c r="G139" s="46">
        <f t="shared" si="74"/>
        <v>0</v>
      </c>
      <c r="H139" s="46">
        <f t="shared" si="74"/>
        <v>0</v>
      </c>
      <c r="I139" s="46">
        <f t="shared" si="74"/>
        <v>0</v>
      </c>
      <c r="J139" s="46"/>
      <c r="K139" s="47">
        <f>K267+K391</f>
        <v>0</v>
      </c>
    </row>
    <row r="140" spans="1:11" ht="30" hidden="1">
      <c r="A140" s="32" t="s">
        <v>262</v>
      </c>
      <c r="B140" s="145" t="s">
        <v>263</v>
      </c>
      <c r="C140" s="33"/>
      <c r="D140" s="64"/>
      <c r="E140" s="65"/>
      <c r="F140" s="66"/>
      <c r="G140" s="67"/>
      <c r="H140" s="68"/>
      <c r="I140" s="67"/>
      <c r="J140" s="136"/>
      <c r="K140" s="69"/>
    </row>
    <row r="141" spans="1:11" ht="15" hidden="1">
      <c r="A141" s="70" t="s">
        <v>264</v>
      </c>
      <c r="B141" s="152" t="s">
        <v>265</v>
      </c>
      <c r="C141" s="71"/>
      <c r="D141" s="72"/>
      <c r="E141" s="73"/>
      <c r="F141" s="74"/>
      <c r="G141" s="53"/>
      <c r="H141" s="75"/>
      <c r="I141" s="52"/>
      <c r="J141" s="138"/>
      <c r="K141" s="54"/>
    </row>
    <row r="142" spans="1:11" ht="17.25" hidden="1">
      <c r="A142" s="76" t="s">
        <v>325</v>
      </c>
      <c r="B142" s="152" t="s">
        <v>266</v>
      </c>
      <c r="C142" s="71"/>
      <c r="D142" s="72"/>
      <c r="E142" s="73"/>
      <c r="F142" s="74"/>
      <c r="G142" s="53"/>
      <c r="H142" s="75"/>
      <c r="I142" s="52"/>
      <c r="J142" s="138"/>
      <c r="K142" s="73"/>
    </row>
    <row r="143" spans="1:11" ht="60.75" thickBot="1">
      <c r="A143" s="77" t="s">
        <v>267</v>
      </c>
      <c r="B143" s="153" t="s">
        <v>8</v>
      </c>
      <c r="C143" s="77"/>
      <c r="D143" s="78">
        <f>D144+D159+D167+D221+D238+D268</f>
        <v>0</v>
      </c>
      <c r="E143" s="159">
        <f>E144+E159+E167+E221+E238+E268</f>
        <v>345153492</v>
      </c>
      <c r="F143" s="159">
        <f t="shared" ref="F143:K143" si="75">F144+F159+F167+F221+F238+F268</f>
        <v>375081550</v>
      </c>
      <c r="G143" s="159">
        <f t="shared" si="75"/>
        <v>368157884</v>
      </c>
      <c r="H143" s="160">
        <f t="shared" si="75"/>
        <v>368157884</v>
      </c>
      <c r="I143" s="159">
        <f t="shared" si="75"/>
        <v>368157884</v>
      </c>
      <c r="J143" s="159">
        <f t="shared" si="75"/>
        <v>0</v>
      </c>
      <c r="K143" s="159">
        <f t="shared" si="75"/>
        <v>356697462</v>
      </c>
    </row>
    <row r="144" spans="1:11" ht="45">
      <c r="A144" s="79" t="s">
        <v>268</v>
      </c>
      <c r="B144" s="154" t="s">
        <v>10</v>
      </c>
      <c r="C144" s="80"/>
      <c r="D144" s="81">
        <f>D145+D148+D154+D155</f>
        <v>0</v>
      </c>
      <c r="E144" s="161">
        <f>E145+E148+E154+E155</f>
        <v>58950255</v>
      </c>
      <c r="F144" s="161">
        <f t="shared" ref="F144:K144" si="76">F145+F148+F154+F155</f>
        <v>58673732</v>
      </c>
      <c r="G144" s="161">
        <f t="shared" si="76"/>
        <v>58426901</v>
      </c>
      <c r="H144" s="162">
        <f t="shared" si="76"/>
        <v>58426901</v>
      </c>
      <c r="I144" s="161">
        <f t="shared" si="76"/>
        <v>58426901</v>
      </c>
      <c r="J144" s="161">
        <f t="shared" si="76"/>
        <v>0</v>
      </c>
      <c r="K144" s="163">
        <f t="shared" si="76"/>
        <v>58863375</v>
      </c>
    </row>
    <row r="145" spans="1:11" ht="30">
      <c r="A145" s="36" t="s">
        <v>269</v>
      </c>
      <c r="B145" s="146" t="s">
        <v>12</v>
      </c>
      <c r="C145" s="37"/>
      <c r="D145" s="83">
        <f>D146</f>
        <v>0</v>
      </c>
      <c r="E145" s="90">
        <f>E146</f>
        <v>47379255</v>
      </c>
      <c r="F145" s="90">
        <f t="shared" ref="F145:K146" si="77">F146</f>
        <v>46376697</v>
      </c>
      <c r="G145" s="90">
        <f t="shared" si="77"/>
        <v>46159114</v>
      </c>
      <c r="H145" s="90">
        <f t="shared" si="77"/>
        <v>46159114</v>
      </c>
      <c r="I145" s="90">
        <f t="shared" si="77"/>
        <v>46159114</v>
      </c>
      <c r="J145" s="90">
        <f t="shared" si="77"/>
        <v>0</v>
      </c>
      <c r="K145" s="91">
        <f t="shared" si="77"/>
        <v>46670018</v>
      </c>
    </row>
    <row r="146" spans="1:11" ht="28.5">
      <c r="A146" s="56" t="s">
        <v>270</v>
      </c>
      <c r="B146" s="147" t="s">
        <v>14</v>
      </c>
      <c r="C146" s="41"/>
      <c r="D146" s="85">
        <f>D147</f>
        <v>0</v>
      </c>
      <c r="E146" s="100">
        <f>E147</f>
        <v>47379255</v>
      </c>
      <c r="F146" s="100">
        <f t="shared" si="77"/>
        <v>46376697</v>
      </c>
      <c r="G146" s="100">
        <f t="shared" si="77"/>
        <v>46159114</v>
      </c>
      <c r="H146" s="100">
        <f t="shared" si="77"/>
        <v>46159114</v>
      </c>
      <c r="I146" s="100">
        <f t="shared" si="77"/>
        <v>46159114</v>
      </c>
      <c r="J146" s="100">
        <f t="shared" si="77"/>
        <v>0</v>
      </c>
      <c r="K146" s="101">
        <f t="shared" si="77"/>
        <v>46670018</v>
      </c>
    </row>
    <row r="147" spans="1:11" ht="27.75" customHeight="1">
      <c r="A147" s="44" t="s">
        <v>271</v>
      </c>
      <c r="B147" s="148" t="s">
        <v>16</v>
      </c>
      <c r="C147" s="45"/>
      <c r="D147" s="87"/>
      <c r="E147" s="164">
        <v>47379255</v>
      </c>
      <c r="F147" s="164">
        <v>46376697</v>
      </c>
      <c r="G147" s="164">
        <v>46159114</v>
      </c>
      <c r="H147" s="164">
        <f>G147</f>
        <v>46159114</v>
      </c>
      <c r="I147" s="164">
        <v>46159114</v>
      </c>
      <c r="J147" s="100"/>
      <c r="K147" s="110">
        <f>46669139+879</f>
        <v>46670018</v>
      </c>
    </row>
    <row r="148" spans="1:11" ht="30">
      <c r="A148" s="36" t="s">
        <v>272</v>
      </c>
      <c r="B148" s="146" t="s">
        <v>18</v>
      </c>
      <c r="C148" s="37"/>
      <c r="D148" s="90">
        <f t="shared" ref="D148:K148" si="78">D149+D150+D151+D152+D153</f>
        <v>0</v>
      </c>
      <c r="E148" s="90">
        <f t="shared" si="78"/>
        <v>4061000</v>
      </c>
      <c r="F148" s="90">
        <f t="shared" si="78"/>
        <v>3930000</v>
      </c>
      <c r="G148" s="90">
        <f t="shared" si="78"/>
        <v>3902171</v>
      </c>
      <c r="H148" s="90">
        <f t="shared" si="78"/>
        <v>3902171</v>
      </c>
      <c r="I148" s="90">
        <f t="shared" si="78"/>
        <v>3902171</v>
      </c>
      <c r="J148" s="90">
        <f t="shared" si="78"/>
        <v>0</v>
      </c>
      <c r="K148" s="91">
        <f t="shared" si="78"/>
        <v>3827741</v>
      </c>
    </row>
    <row r="149" spans="1:11" ht="28.5">
      <c r="A149" s="44" t="s">
        <v>273</v>
      </c>
      <c r="B149" s="148" t="s">
        <v>20</v>
      </c>
      <c r="C149" s="45"/>
      <c r="D149" s="87"/>
      <c r="E149" s="164">
        <v>10000</v>
      </c>
      <c r="F149" s="164">
        <v>10000</v>
      </c>
      <c r="G149" s="165"/>
      <c r="H149" s="165"/>
      <c r="I149" s="165"/>
      <c r="J149" s="166"/>
      <c r="K149" s="167"/>
    </row>
    <row r="150" spans="1:11" ht="28.5" hidden="1">
      <c r="A150" s="44" t="s">
        <v>21</v>
      </c>
      <c r="B150" s="148" t="s">
        <v>22</v>
      </c>
      <c r="C150" s="45"/>
      <c r="D150" s="87"/>
      <c r="E150" s="107"/>
      <c r="F150" s="107"/>
      <c r="G150" s="107"/>
      <c r="H150" s="107"/>
      <c r="I150" s="107"/>
      <c r="J150" s="107">
        <f t="shared" ref="J150:J158" si="79">G150-I150</f>
        <v>0</v>
      </c>
      <c r="K150" s="108"/>
    </row>
    <row r="151" spans="1:11" ht="42.75" hidden="1">
      <c r="A151" s="44" t="s">
        <v>23</v>
      </c>
      <c r="B151" s="148" t="s">
        <v>24</v>
      </c>
      <c r="C151" s="45"/>
      <c r="D151" s="87"/>
      <c r="E151" s="107"/>
      <c r="F151" s="107"/>
      <c r="G151" s="107"/>
      <c r="H151" s="107"/>
      <c r="I151" s="107"/>
      <c r="J151" s="107">
        <f t="shared" si="79"/>
        <v>0</v>
      </c>
      <c r="K151" s="108"/>
    </row>
    <row r="152" spans="1:11" ht="28.5">
      <c r="A152" s="44" t="s">
        <v>25</v>
      </c>
      <c r="B152" s="148" t="s">
        <v>26</v>
      </c>
      <c r="C152" s="45"/>
      <c r="D152" s="87"/>
      <c r="E152" s="164">
        <v>3851000</v>
      </c>
      <c r="F152" s="164">
        <v>3700000</v>
      </c>
      <c r="G152" s="164">
        <v>3682913</v>
      </c>
      <c r="H152" s="164">
        <v>3682913</v>
      </c>
      <c r="I152" s="164">
        <v>3682913</v>
      </c>
      <c r="J152" s="168"/>
      <c r="K152" s="110">
        <v>3608483</v>
      </c>
    </row>
    <row r="153" spans="1:11" ht="21" customHeight="1">
      <c r="A153" s="44" t="s">
        <v>27</v>
      </c>
      <c r="B153" s="148" t="s">
        <v>28</v>
      </c>
      <c r="C153" s="45"/>
      <c r="D153" s="87"/>
      <c r="E153" s="107">
        <v>200000</v>
      </c>
      <c r="F153" s="107">
        <v>220000</v>
      </c>
      <c r="G153" s="107">
        <v>219258</v>
      </c>
      <c r="H153" s="107">
        <v>219258</v>
      </c>
      <c r="I153" s="107">
        <v>219258</v>
      </c>
      <c r="J153" s="107">
        <v>0</v>
      </c>
      <c r="K153" s="108">
        <v>219258</v>
      </c>
    </row>
    <row r="154" spans="1:11" ht="30">
      <c r="A154" s="36" t="s">
        <v>29</v>
      </c>
      <c r="B154" s="146" t="s">
        <v>30</v>
      </c>
      <c r="C154" s="37"/>
      <c r="D154" s="97"/>
      <c r="E154" s="169">
        <v>7510000</v>
      </c>
      <c r="F154" s="169">
        <v>8367035</v>
      </c>
      <c r="G154" s="169">
        <v>8365616</v>
      </c>
      <c r="H154" s="169">
        <f>G154</f>
        <v>8365616</v>
      </c>
      <c r="I154" s="169">
        <v>8365616</v>
      </c>
      <c r="J154" s="169">
        <f t="shared" si="79"/>
        <v>0</v>
      </c>
      <c r="K154" s="170">
        <v>8365616</v>
      </c>
    </row>
    <row r="155" spans="1:11" ht="45" hidden="1">
      <c r="A155" s="36" t="s">
        <v>31</v>
      </c>
      <c r="B155" s="146" t="s">
        <v>32</v>
      </c>
      <c r="C155" s="37"/>
      <c r="D155" s="83">
        <f>D156+D157+D158</f>
        <v>0</v>
      </c>
      <c r="E155" s="83">
        <f>E156+E157+E158</f>
        <v>0</v>
      </c>
      <c r="F155" s="83">
        <f t="shared" ref="F155:K155" si="80">F156+F157+F158</f>
        <v>0</v>
      </c>
      <c r="G155" s="83">
        <f t="shared" si="80"/>
        <v>0</v>
      </c>
      <c r="H155" s="83">
        <f t="shared" si="80"/>
        <v>0</v>
      </c>
      <c r="I155" s="83">
        <f t="shared" si="80"/>
        <v>0</v>
      </c>
      <c r="J155" s="83">
        <f t="shared" si="79"/>
        <v>0</v>
      </c>
      <c r="K155" s="84">
        <f t="shared" si="80"/>
        <v>0</v>
      </c>
    </row>
    <row r="156" spans="1:11" ht="42.75" hidden="1">
      <c r="A156" s="44" t="s">
        <v>35</v>
      </c>
      <c r="B156" s="148" t="s">
        <v>34</v>
      </c>
      <c r="C156" s="45"/>
      <c r="D156" s="87"/>
      <c r="E156" s="51"/>
      <c r="F156" s="51"/>
      <c r="G156" s="51"/>
      <c r="H156" s="51"/>
      <c r="I156" s="51"/>
      <c r="J156" s="95">
        <f t="shared" si="79"/>
        <v>0</v>
      </c>
      <c r="K156" s="96"/>
    </row>
    <row r="157" spans="1:11" ht="42.75" hidden="1">
      <c r="A157" s="44" t="s">
        <v>36</v>
      </c>
      <c r="B157" s="148" t="s">
        <v>37</v>
      </c>
      <c r="C157" s="45"/>
      <c r="D157" s="87"/>
      <c r="E157" s="51"/>
      <c r="F157" s="51"/>
      <c r="G157" s="51"/>
      <c r="H157" s="87"/>
      <c r="I157" s="51"/>
      <c r="J157" s="95">
        <f t="shared" si="79"/>
        <v>0</v>
      </c>
      <c r="K157" s="96"/>
    </row>
    <row r="158" spans="1:11" ht="42.75" hidden="1">
      <c r="A158" s="44" t="s">
        <v>38</v>
      </c>
      <c r="B158" s="149" t="s">
        <v>39</v>
      </c>
      <c r="C158" s="55"/>
      <c r="D158" s="87"/>
      <c r="E158" s="51"/>
      <c r="F158" s="51"/>
      <c r="G158" s="51"/>
      <c r="H158" s="87"/>
      <c r="I158" s="51"/>
      <c r="J158" s="95">
        <f t="shared" si="79"/>
        <v>0</v>
      </c>
      <c r="K158" s="96"/>
    </row>
    <row r="159" spans="1:11" ht="45">
      <c r="A159" s="32" t="s">
        <v>40</v>
      </c>
      <c r="B159" s="145" t="s">
        <v>41</v>
      </c>
      <c r="C159" s="33"/>
      <c r="D159" s="82">
        <f>D160+D162</f>
        <v>0</v>
      </c>
      <c r="E159" s="82">
        <f>E160+E162</f>
        <v>13334182</v>
      </c>
      <c r="F159" s="82">
        <f t="shared" ref="F159:K159" si="81">F160+F162</f>
        <v>14095007</v>
      </c>
      <c r="G159" s="82">
        <f t="shared" si="81"/>
        <v>13634380</v>
      </c>
      <c r="H159" s="82">
        <f t="shared" si="81"/>
        <v>13634380</v>
      </c>
      <c r="I159" s="82">
        <f t="shared" si="81"/>
        <v>13634380</v>
      </c>
      <c r="J159" s="82">
        <f t="shared" si="81"/>
        <v>0</v>
      </c>
      <c r="K159" s="98">
        <f t="shared" si="81"/>
        <v>13988905</v>
      </c>
    </row>
    <row r="160" spans="1:11" ht="15" hidden="1">
      <c r="A160" s="36" t="s">
        <v>42</v>
      </c>
      <c r="B160" s="146" t="s">
        <v>43</v>
      </c>
      <c r="C160" s="37"/>
      <c r="D160" s="83">
        <f>D161</f>
        <v>0</v>
      </c>
      <c r="E160" s="83">
        <f>E161</f>
        <v>0</v>
      </c>
      <c r="F160" s="83">
        <f t="shared" ref="F160:K160" si="82">F161</f>
        <v>0</v>
      </c>
      <c r="G160" s="83">
        <f t="shared" si="82"/>
        <v>0</v>
      </c>
      <c r="H160" s="83">
        <f t="shared" si="82"/>
        <v>0</v>
      </c>
      <c r="I160" s="83">
        <f t="shared" si="82"/>
        <v>0</v>
      </c>
      <c r="J160" s="83">
        <f t="shared" si="82"/>
        <v>0</v>
      </c>
      <c r="K160" s="84">
        <f t="shared" si="82"/>
        <v>0</v>
      </c>
    </row>
    <row r="161" spans="1:11" ht="14.25" hidden="1">
      <c r="A161" s="44" t="s">
        <v>274</v>
      </c>
      <c r="B161" s="148" t="s">
        <v>45</v>
      </c>
      <c r="C161" s="45"/>
      <c r="D161" s="87"/>
      <c r="E161" s="51"/>
      <c r="F161" s="51"/>
      <c r="G161" s="51"/>
      <c r="H161" s="51"/>
      <c r="I161" s="51"/>
      <c r="J161" s="95">
        <f>G161-I161</f>
        <v>0</v>
      </c>
      <c r="K161" s="96"/>
    </row>
    <row r="162" spans="1:11" ht="30">
      <c r="A162" s="36" t="s">
        <v>275</v>
      </c>
      <c r="B162" s="146" t="s">
        <v>47</v>
      </c>
      <c r="C162" s="37"/>
      <c r="D162" s="83">
        <f>D163+D165+D166</f>
        <v>0</v>
      </c>
      <c r="E162" s="83">
        <f>E163+E165+E166</f>
        <v>13334182</v>
      </c>
      <c r="F162" s="83">
        <f t="shared" ref="F162:K162" si="83">F163+F165+F166</f>
        <v>14095007</v>
      </c>
      <c r="G162" s="83">
        <f t="shared" si="83"/>
        <v>13634380</v>
      </c>
      <c r="H162" s="83">
        <f t="shared" si="83"/>
        <v>13634380</v>
      </c>
      <c r="I162" s="83">
        <f t="shared" si="83"/>
        <v>13634380</v>
      </c>
      <c r="J162" s="83">
        <f>J163+J165+J166</f>
        <v>0</v>
      </c>
      <c r="K162" s="84">
        <f t="shared" si="83"/>
        <v>13988905</v>
      </c>
    </row>
    <row r="163" spans="1:11" ht="14.25">
      <c r="A163" s="56" t="s">
        <v>48</v>
      </c>
      <c r="B163" s="147" t="s">
        <v>49</v>
      </c>
      <c r="C163" s="41"/>
      <c r="D163" s="85">
        <f>D164</f>
        <v>0</v>
      </c>
      <c r="E163" s="85">
        <f>E164</f>
        <v>13279182</v>
      </c>
      <c r="F163" s="85">
        <f t="shared" ref="F163:K163" si="84">F164</f>
        <v>14050007</v>
      </c>
      <c r="G163" s="85">
        <f t="shared" si="84"/>
        <v>13593558</v>
      </c>
      <c r="H163" s="85">
        <f t="shared" si="84"/>
        <v>13593558</v>
      </c>
      <c r="I163" s="85">
        <f t="shared" si="84"/>
        <v>13593558</v>
      </c>
      <c r="J163" s="85">
        <f t="shared" si="84"/>
        <v>0</v>
      </c>
      <c r="K163" s="86">
        <f t="shared" si="84"/>
        <v>13943551</v>
      </c>
    </row>
    <row r="164" spans="1:11" ht="26.25" customHeight="1">
      <c r="A164" s="44" t="s">
        <v>50</v>
      </c>
      <c r="B164" s="148" t="s">
        <v>51</v>
      </c>
      <c r="C164" s="45"/>
      <c r="D164" s="87"/>
      <c r="E164" s="95">
        <v>13279182</v>
      </c>
      <c r="F164" s="95">
        <v>14050007</v>
      </c>
      <c r="G164" s="95">
        <v>13593558</v>
      </c>
      <c r="H164" s="95">
        <v>13593558</v>
      </c>
      <c r="I164" s="95">
        <v>13593558</v>
      </c>
      <c r="J164" s="138"/>
      <c r="K164" s="99">
        <v>13943551</v>
      </c>
    </row>
    <row r="165" spans="1:11" ht="28.5">
      <c r="A165" s="44" t="s">
        <v>52</v>
      </c>
      <c r="B165" s="148" t="s">
        <v>53</v>
      </c>
      <c r="C165" s="45"/>
      <c r="D165" s="87"/>
      <c r="E165" s="95">
        <v>55000</v>
      </c>
      <c r="F165" s="95">
        <v>45000</v>
      </c>
      <c r="G165" s="95">
        <v>40822</v>
      </c>
      <c r="H165" s="95">
        <v>40822</v>
      </c>
      <c r="I165" s="95">
        <v>40822</v>
      </c>
      <c r="J165" s="138"/>
      <c r="K165" s="99">
        <v>45069</v>
      </c>
    </row>
    <row r="166" spans="1:11" ht="28.5" hidden="1">
      <c r="A166" s="44" t="s">
        <v>54</v>
      </c>
      <c r="B166" s="148" t="s">
        <v>55</v>
      </c>
      <c r="C166" s="45"/>
      <c r="D166" s="87"/>
      <c r="E166" s="95"/>
      <c r="F166" s="95"/>
      <c r="G166" s="95"/>
      <c r="H166" s="95"/>
      <c r="I166" s="95"/>
      <c r="J166" s="95"/>
      <c r="K166" s="99">
        <v>285</v>
      </c>
    </row>
    <row r="167" spans="1:11" ht="45">
      <c r="A167" s="32" t="s">
        <v>56</v>
      </c>
      <c r="B167" s="145" t="s">
        <v>57</v>
      </c>
      <c r="C167" s="33"/>
      <c r="D167" s="82">
        <f t="shared" ref="D167:K167" si="85">D168+D184+D191+D209</f>
        <v>0</v>
      </c>
      <c r="E167" s="82">
        <f t="shared" si="85"/>
        <v>156782120</v>
      </c>
      <c r="F167" s="82">
        <f t="shared" si="85"/>
        <v>182410499</v>
      </c>
      <c r="G167" s="82">
        <f t="shared" si="85"/>
        <v>180264306</v>
      </c>
      <c r="H167" s="82">
        <f t="shared" si="85"/>
        <v>180264306</v>
      </c>
      <c r="I167" s="82">
        <f t="shared" si="85"/>
        <v>180264306</v>
      </c>
      <c r="J167" s="82">
        <f t="shared" si="85"/>
        <v>0</v>
      </c>
      <c r="K167" s="98">
        <f t="shared" si="85"/>
        <v>181920678</v>
      </c>
    </row>
    <row r="168" spans="1:11" ht="45">
      <c r="A168" s="36" t="s">
        <v>58</v>
      </c>
      <c r="B168" s="146" t="s">
        <v>59</v>
      </c>
      <c r="C168" s="37"/>
      <c r="D168" s="83">
        <f>D169+D172+D176+D177+D179+D183</f>
        <v>0</v>
      </c>
      <c r="E168" s="83">
        <f>E169+E172+E176+E177+E179+E183+E182</f>
        <v>31755941</v>
      </c>
      <c r="F168" s="83">
        <f t="shared" ref="F168:K168" si="86">F169+F172+F176+F177+F179+F183+F182</f>
        <v>32468989</v>
      </c>
      <c r="G168" s="83">
        <f t="shared" si="86"/>
        <v>31190671</v>
      </c>
      <c r="H168" s="83">
        <f t="shared" si="86"/>
        <v>31190671</v>
      </c>
      <c r="I168" s="83">
        <f t="shared" si="86"/>
        <v>31190671</v>
      </c>
      <c r="J168" s="83">
        <f t="shared" si="86"/>
        <v>0</v>
      </c>
      <c r="K168" s="83">
        <f t="shared" si="86"/>
        <v>33210010</v>
      </c>
    </row>
    <row r="169" spans="1:11" ht="28.5">
      <c r="A169" s="56" t="s">
        <v>276</v>
      </c>
      <c r="B169" s="147" t="s">
        <v>61</v>
      </c>
      <c r="C169" s="41"/>
      <c r="D169" s="85">
        <f>D170+D171</f>
        <v>0</v>
      </c>
      <c r="E169" s="100">
        <f>E170+E171</f>
        <v>3905999</v>
      </c>
      <c r="F169" s="100">
        <f t="shared" ref="F169:K169" si="87">F170+F171</f>
        <v>4215871</v>
      </c>
      <c r="G169" s="100">
        <f t="shared" si="87"/>
        <v>4128274</v>
      </c>
      <c r="H169" s="100">
        <f t="shared" si="87"/>
        <v>4128274</v>
      </c>
      <c r="I169" s="100">
        <f t="shared" si="87"/>
        <v>4128274</v>
      </c>
      <c r="J169" s="85">
        <f>J170+J171</f>
        <v>0</v>
      </c>
      <c r="K169" s="101">
        <f t="shared" si="87"/>
        <v>4229253</v>
      </c>
    </row>
    <row r="170" spans="1:11" ht="25.5" customHeight="1">
      <c r="A170" s="44" t="s">
        <v>62</v>
      </c>
      <c r="B170" s="148" t="s">
        <v>63</v>
      </c>
      <c r="C170" s="45"/>
      <c r="D170" s="87"/>
      <c r="E170" s="95">
        <f>'[2]13+verif'!E167</f>
        <v>3231019</v>
      </c>
      <c r="F170" s="95">
        <f>'[1]13+verif'!F167</f>
        <v>3531727</v>
      </c>
      <c r="G170" s="95">
        <f>'[1]13+verif'!G167</f>
        <v>3461760</v>
      </c>
      <c r="H170" s="95">
        <f>'[1]13+verif'!H167</f>
        <v>3461760</v>
      </c>
      <c r="I170" s="95">
        <f>'[1]13+verif'!I167</f>
        <v>3461760</v>
      </c>
      <c r="J170" s="95">
        <f>'[1]13+verif'!J167</f>
        <v>0</v>
      </c>
      <c r="K170" s="95">
        <f>'[1]13+verif'!K167</f>
        <v>3566330</v>
      </c>
    </row>
    <row r="171" spans="1:11" ht="14.25">
      <c r="A171" s="44" t="s">
        <v>64</v>
      </c>
      <c r="B171" s="148" t="s">
        <v>65</v>
      </c>
      <c r="C171" s="45"/>
      <c r="D171" s="87"/>
      <c r="E171" s="95">
        <f>'[2]13+verif'!E168</f>
        <v>674980</v>
      </c>
      <c r="F171" s="95">
        <f>'[1]13+verif'!F168</f>
        <v>684144</v>
      </c>
      <c r="G171" s="95">
        <f>'[1]13+verif'!G168</f>
        <v>666514</v>
      </c>
      <c r="H171" s="95">
        <f>'[1]13+verif'!H168</f>
        <v>666514</v>
      </c>
      <c r="I171" s="95">
        <f>'[1]13+verif'!I168</f>
        <v>666514</v>
      </c>
      <c r="J171" s="95">
        <f>'[1]13+verif'!J168</f>
        <v>0</v>
      </c>
      <c r="K171" s="95">
        <f>'[1]13+verif'!K168</f>
        <v>662923</v>
      </c>
    </row>
    <row r="172" spans="1:11" ht="28.5">
      <c r="A172" s="56" t="s">
        <v>277</v>
      </c>
      <c r="B172" s="147" t="s">
        <v>67</v>
      </c>
      <c r="C172" s="41"/>
      <c r="D172" s="85">
        <f>D173+D174+D175</f>
        <v>0</v>
      </c>
      <c r="E172" s="102">
        <f>'[2]13+verif'!E169</f>
        <v>22522867</v>
      </c>
      <c r="F172" s="102">
        <f>'[1]13+verif'!F169</f>
        <v>20522712</v>
      </c>
      <c r="G172" s="102">
        <f>'[1]13+verif'!G169</f>
        <v>19726289</v>
      </c>
      <c r="H172" s="102">
        <f>'[1]13+verif'!H169</f>
        <v>19726289</v>
      </c>
      <c r="I172" s="102">
        <f>'[1]13+verif'!I169</f>
        <v>19726289</v>
      </c>
      <c r="J172" s="102">
        <f>'[1]13+verif'!J169</f>
        <v>0</v>
      </c>
      <c r="K172" s="102">
        <f>'[1]13+verif'!K169</f>
        <v>21088616</v>
      </c>
    </row>
    <row r="173" spans="1:11" ht="14.25">
      <c r="A173" s="44" t="s">
        <v>278</v>
      </c>
      <c r="B173" s="148" t="s">
        <v>69</v>
      </c>
      <c r="C173" s="45"/>
      <c r="D173" s="87"/>
      <c r="E173" s="95">
        <f>'[2]13+verif'!E170</f>
        <v>5892297</v>
      </c>
      <c r="F173" s="95">
        <f>'[1]13+verif'!F170</f>
        <v>6348291</v>
      </c>
      <c r="G173" s="95">
        <f>'[1]13+verif'!G170</f>
        <v>5740486</v>
      </c>
      <c r="H173" s="95">
        <f>'[1]13+verif'!H170</f>
        <v>5740486</v>
      </c>
      <c r="I173" s="95">
        <f>'[1]13+verif'!I170</f>
        <v>5740486</v>
      </c>
      <c r="J173" s="95">
        <f>'[1]13+verif'!J170</f>
        <v>0</v>
      </c>
      <c r="K173" s="95">
        <f>'[1]13+verif'!K170</f>
        <v>6032096</v>
      </c>
    </row>
    <row r="174" spans="1:11" ht="14.25">
      <c r="A174" s="44" t="s">
        <v>70</v>
      </c>
      <c r="B174" s="148" t="s">
        <v>71</v>
      </c>
      <c r="C174" s="45"/>
      <c r="D174" s="87"/>
      <c r="E174" s="95">
        <f>'[2]13+verif'!E171</f>
        <v>16630570</v>
      </c>
      <c r="F174" s="95">
        <f>'[1]13+verif'!F171</f>
        <v>14174421</v>
      </c>
      <c r="G174" s="95">
        <f>'[1]13+verif'!G171</f>
        <v>13985803</v>
      </c>
      <c r="H174" s="95">
        <f>'[1]13+verif'!H171</f>
        <v>13985803</v>
      </c>
      <c r="I174" s="95">
        <f>'[1]13+verif'!I171</f>
        <v>13985803</v>
      </c>
      <c r="J174" s="95">
        <f>'[1]13+verif'!J171</f>
        <v>0</v>
      </c>
      <c r="K174" s="95">
        <f>'[1]13+verif'!K171</f>
        <v>15056520</v>
      </c>
    </row>
    <row r="175" spans="1:11" ht="14.25">
      <c r="A175" s="44" t="s">
        <v>72</v>
      </c>
      <c r="B175" s="148" t="s">
        <v>73</v>
      </c>
      <c r="C175" s="45"/>
      <c r="D175" s="87"/>
      <c r="E175" s="95">
        <f>'[2]13+verif'!E172</f>
        <v>0</v>
      </c>
      <c r="F175" s="95">
        <f>'[1]13+verif'!F172</f>
        <v>0</v>
      </c>
      <c r="G175" s="95">
        <f>'[1]13+verif'!G172</f>
        <v>0</v>
      </c>
      <c r="H175" s="95">
        <f>'[1]13+verif'!H172</f>
        <v>0</v>
      </c>
      <c r="I175" s="95">
        <f>'[1]13+verif'!I172</f>
        <v>0</v>
      </c>
      <c r="J175" s="95">
        <f>'[1]13+verif'!J172</f>
        <v>0</v>
      </c>
      <c r="K175" s="95">
        <f>'[1]13+verif'!K172</f>
        <v>0</v>
      </c>
    </row>
    <row r="176" spans="1:11" ht="14.25">
      <c r="A176" s="44" t="s">
        <v>74</v>
      </c>
      <c r="B176" s="148" t="s">
        <v>75</v>
      </c>
      <c r="C176" s="45"/>
      <c r="D176" s="87"/>
      <c r="E176" s="95">
        <f>'[2]13+verif'!E173</f>
        <v>93000</v>
      </c>
      <c r="F176" s="95">
        <f>'[1]13+verif'!F173</f>
        <v>69902</v>
      </c>
      <c r="G176" s="95">
        <f>'[1]13+verif'!G173</f>
        <v>65314</v>
      </c>
      <c r="H176" s="95">
        <f>'[1]13+verif'!H173</f>
        <v>65314</v>
      </c>
      <c r="I176" s="95">
        <f>'[1]13+verif'!I173</f>
        <v>65314</v>
      </c>
      <c r="J176" s="95">
        <f>'[1]13+verif'!J173</f>
        <v>0</v>
      </c>
      <c r="K176" s="95">
        <f>'[1]13+verif'!K173</f>
        <v>109979</v>
      </c>
    </row>
    <row r="177" spans="1:11" ht="28.5">
      <c r="A177" s="56" t="s">
        <v>279</v>
      </c>
      <c r="B177" s="147" t="s">
        <v>77</v>
      </c>
      <c r="C177" s="41"/>
      <c r="D177" s="85">
        <f>D178</f>
        <v>0</v>
      </c>
      <c r="E177" s="102">
        <f>'[2]13+verif'!E174</f>
        <v>38000</v>
      </c>
      <c r="F177" s="102">
        <f>'[1]13+verif'!F174</f>
        <v>242000</v>
      </c>
      <c r="G177" s="102">
        <f>'[1]13+verif'!G174</f>
        <v>213293</v>
      </c>
      <c r="H177" s="102">
        <f>'[1]13+verif'!H174</f>
        <v>213293</v>
      </c>
      <c r="I177" s="102">
        <f>'[1]13+verif'!I174</f>
        <v>213293</v>
      </c>
      <c r="J177" s="102">
        <f>'[1]13+verif'!J174</f>
        <v>0</v>
      </c>
      <c r="K177" s="102">
        <f>'[1]13+verif'!K174</f>
        <v>213293</v>
      </c>
    </row>
    <row r="178" spans="1:11" ht="14.25">
      <c r="A178" s="44" t="s">
        <v>78</v>
      </c>
      <c r="B178" s="148" t="s">
        <v>79</v>
      </c>
      <c r="C178" s="45"/>
      <c r="D178" s="87"/>
      <c r="E178" s="95">
        <f>'[2]13+verif'!E175</f>
        <v>38000</v>
      </c>
      <c r="F178" s="95">
        <f>'[1]13+verif'!F175</f>
        <v>242000</v>
      </c>
      <c r="G178" s="95">
        <f>'[1]13+verif'!G175</f>
        <v>213293</v>
      </c>
      <c r="H178" s="95">
        <f>'[1]13+verif'!H175</f>
        <v>213293</v>
      </c>
      <c r="I178" s="95">
        <f>'[1]13+verif'!I175</f>
        <v>213293</v>
      </c>
      <c r="J178" s="95">
        <f>'[1]13+verif'!J175</f>
        <v>0</v>
      </c>
      <c r="K178" s="95">
        <f>'[1]13+verif'!K175</f>
        <v>213293</v>
      </c>
    </row>
    <row r="179" spans="1:11" ht="28.5">
      <c r="A179" s="56" t="s">
        <v>280</v>
      </c>
      <c r="B179" s="147" t="s">
        <v>81</v>
      </c>
      <c r="C179" s="41"/>
      <c r="D179" s="85">
        <f>D180+D181</f>
        <v>0</v>
      </c>
      <c r="E179" s="102">
        <f>'[2]13+verif'!E176</f>
        <v>979134</v>
      </c>
      <c r="F179" s="102">
        <f>'[1]13+verif'!F176</f>
        <v>1156675</v>
      </c>
      <c r="G179" s="102">
        <f>'[1]13+verif'!G176</f>
        <v>977709</v>
      </c>
      <c r="H179" s="102">
        <f>'[1]13+verif'!H176</f>
        <v>977709</v>
      </c>
      <c r="I179" s="102">
        <f>'[1]13+verif'!I176</f>
        <v>977709</v>
      </c>
      <c r="J179" s="102">
        <f>'[1]13+verif'!J176</f>
        <v>0</v>
      </c>
      <c r="K179" s="102">
        <f>'[1]13+verif'!K176</f>
        <v>977709</v>
      </c>
    </row>
    <row r="180" spans="1:11" ht="14.25">
      <c r="A180" s="44" t="s">
        <v>82</v>
      </c>
      <c r="B180" s="148" t="s">
        <v>83</v>
      </c>
      <c r="C180" s="45"/>
      <c r="D180" s="103"/>
      <c r="E180" s="95">
        <f>'[2]13+verif'!E177</f>
        <v>0</v>
      </c>
      <c r="F180" s="95">
        <f>'[1]13+verif'!F177</f>
        <v>0</v>
      </c>
      <c r="G180" s="95">
        <f>'[1]13+verif'!G177</f>
        <v>0</v>
      </c>
      <c r="H180" s="95">
        <f>'[1]13+verif'!H177</f>
        <v>0</v>
      </c>
      <c r="I180" s="95">
        <f>'[1]13+verif'!I177</f>
        <v>0</v>
      </c>
      <c r="J180" s="95">
        <f>'[1]13+verif'!J177</f>
        <v>0</v>
      </c>
      <c r="K180" s="95">
        <f>'[1]13+verif'!K177</f>
        <v>0</v>
      </c>
    </row>
    <row r="181" spans="1:11" ht="14.25">
      <c r="A181" s="44" t="s">
        <v>84</v>
      </c>
      <c r="B181" s="148" t="s">
        <v>85</v>
      </c>
      <c r="C181" s="45"/>
      <c r="D181" s="103"/>
      <c r="E181" s="95">
        <f>'[2]13+verif'!E178</f>
        <v>979134</v>
      </c>
      <c r="F181" s="95">
        <f>'[1]13+verif'!F178</f>
        <v>1156675</v>
      </c>
      <c r="G181" s="95">
        <f>'[1]13+verif'!G178</f>
        <v>977709</v>
      </c>
      <c r="H181" s="95">
        <f>'[1]13+verif'!H178</f>
        <v>977709</v>
      </c>
      <c r="I181" s="95">
        <f>'[1]13+verif'!I178</f>
        <v>977709</v>
      </c>
      <c r="J181" s="95">
        <f>'[1]13+verif'!J178</f>
        <v>0</v>
      </c>
      <c r="K181" s="95">
        <f>'[1]13+verif'!K178</f>
        <v>977709</v>
      </c>
    </row>
    <row r="182" spans="1:11" ht="14.25">
      <c r="A182" s="58" t="s">
        <v>86</v>
      </c>
      <c r="B182" s="12" t="s">
        <v>87</v>
      </c>
      <c r="C182" s="45"/>
      <c r="D182" s="103"/>
      <c r="E182" s="95">
        <f>'[2]13+verif'!E179</f>
        <v>1138000</v>
      </c>
      <c r="F182" s="95">
        <f>'[1]13+verif'!F179</f>
        <v>1202316</v>
      </c>
      <c r="G182" s="95">
        <f>'[1]13+verif'!G179</f>
        <v>1193765</v>
      </c>
      <c r="H182" s="95">
        <f>'[1]13+verif'!H179</f>
        <v>1193765</v>
      </c>
      <c r="I182" s="95">
        <f>'[1]13+verif'!I179</f>
        <v>1193765</v>
      </c>
      <c r="J182" s="95">
        <f>'[1]13+verif'!J179</f>
        <v>0</v>
      </c>
      <c r="K182" s="95">
        <f>'[1]13+verif'!K179</f>
        <v>1193765</v>
      </c>
    </row>
    <row r="183" spans="1:11" ht="14.25">
      <c r="A183" s="44" t="s">
        <v>88</v>
      </c>
      <c r="B183" s="148" t="s">
        <v>89</v>
      </c>
      <c r="C183" s="45"/>
      <c r="D183" s="103"/>
      <c r="E183" s="95">
        <f>'[2]13+verif'!E180</f>
        <v>3078941</v>
      </c>
      <c r="F183" s="95">
        <f>'[1]13+verif'!F180</f>
        <v>5059513</v>
      </c>
      <c r="G183" s="95">
        <f>'[1]13+verif'!G180</f>
        <v>4886027</v>
      </c>
      <c r="H183" s="95">
        <f>'[1]13+verif'!H180</f>
        <v>4886027</v>
      </c>
      <c r="I183" s="95">
        <f>'[1]13+verif'!I180</f>
        <v>4886027</v>
      </c>
      <c r="J183" s="95">
        <f>'[1]13+verif'!J180</f>
        <v>0</v>
      </c>
      <c r="K183" s="95">
        <f>'[1]13+verif'!K180</f>
        <v>5397395</v>
      </c>
    </row>
    <row r="184" spans="1:11" ht="30">
      <c r="A184" s="36" t="s">
        <v>90</v>
      </c>
      <c r="B184" s="146" t="s">
        <v>91</v>
      </c>
      <c r="C184" s="37"/>
      <c r="D184" s="83">
        <f>D185+D188+D189</f>
        <v>0</v>
      </c>
      <c r="E184" s="83">
        <f>E185+E188+E189</f>
        <v>7249000</v>
      </c>
      <c r="F184" s="83">
        <f t="shared" ref="F184:K184" si="88">F185+F188+F189</f>
        <v>8741000</v>
      </c>
      <c r="G184" s="83">
        <f t="shared" si="88"/>
        <v>8659630</v>
      </c>
      <c r="H184" s="83">
        <f t="shared" si="88"/>
        <v>8659630</v>
      </c>
      <c r="I184" s="83">
        <f t="shared" si="88"/>
        <v>8659630</v>
      </c>
      <c r="J184" s="83">
        <f t="shared" si="88"/>
        <v>0</v>
      </c>
      <c r="K184" s="83">
        <f t="shared" si="88"/>
        <v>8666407</v>
      </c>
    </row>
    <row r="185" spans="1:11" ht="28.5" hidden="1">
      <c r="A185" s="56" t="s">
        <v>92</v>
      </c>
      <c r="B185" s="147" t="s">
        <v>93</v>
      </c>
      <c r="C185" s="41"/>
      <c r="D185" s="85">
        <f>D186+D187</f>
        <v>0</v>
      </c>
      <c r="E185" s="85">
        <f>E186+E187</f>
        <v>0</v>
      </c>
      <c r="F185" s="85">
        <f t="shared" ref="F185:K185" si="89">F186+F187</f>
        <v>0</v>
      </c>
      <c r="G185" s="85">
        <f t="shared" si="89"/>
        <v>0</v>
      </c>
      <c r="H185" s="85">
        <f t="shared" si="89"/>
        <v>0</v>
      </c>
      <c r="I185" s="85">
        <f t="shared" si="89"/>
        <v>0</v>
      </c>
      <c r="J185" s="85">
        <f>J186+J187</f>
        <v>0</v>
      </c>
      <c r="K185" s="86">
        <f t="shared" si="89"/>
        <v>0</v>
      </c>
    </row>
    <row r="186" spans="1:11" ht="14.25" hidden="1">
      <c r="A186" s="44" t="s">
        <v>94</v>
      </c>
      <c r="B186" s="148" t="s">
        <v>95</v>
      </c>
      <c r="C186" s="45"/>
      <c r="D186" s="87"/>
      <c r="E186" s="51"/>
      <c r="F186" s="104"/>
      <c r="G186" s="51"/>
      <c r="H186" s="74"/>
      <c r="I186" s="74"/>
      <c r="J186" s="105">
        <f>G186-I186</f>
        <v>0</v>
      </c>
      <c r="K186" s="96"/>
    </row>
    <row r="187" spans="1:11" ht="14.25" hidden="1">
      <c r="A187" s="44" t="s">
        <v>96</v>
      </c>
      <c r="B187" s="149" t="s">
        <v>97</v>
      </c>
      <c r="C187" s="55"/>
      <c r="D187" s="87"/>
      <c r="E187" s="51"/>
      <c r="F187" s="51"/>
      <c r="G187" s="51"/>
      <c r="H187" s="74"/>
      <c r="I187" s="74"/>
      <c r="J187" s="105">
        <f>G187-I187</f>
        <v>0</v>
      </c>
      <c r="K187" s="96"/>
    </row>
    <row r="188" spans="1:11" ht="25.5" customHeight="1">
      <c r="A188" s="44" t="s">
        <v>98</v>
      </c>
      <c r="B188" s="149" t="s">
        <v>99</v>
      </c>
      <c r="C188" s="55"/>
      <c r="D188" s="106"/>
      <c r="E188" s="95">
        <v>7249000</v>
      </c>
      <c r="F188" s="95">
        <v>8741000</v>
      </c>
      <c r="G188" s="95">
        <v>8659630</v>
      </c>
      <c r="H188" s="105">
        <v>8659630</v>
      </c>
      <c r="I188" s="105">
        <v>8659630</v>
      </c>
      <c r="J188" s="105">
        <f>G188-I188</f>
        <v>0</v>
      </c>
      <c r="K188" s="99">
        <f>8658356+8051</f>
        <v>8666407</v>
      </c>
    </row>
    <row r="189" spans="1:11" ht="28.5" hidden="1">
      <c r="A189" s="40" t="s">
        <v>100</v>
      </c>
      <c r="B189" s="147" t="s">
        <v>101</v>
      </c>
      <c r="C189" s="41"/>
      <c r="D189" s="85">
        <f>D190</f>
        <v>0</v>
      </c>
      <c r="E189" s="100">
        <f>E190</f>
        <v>0</v>
      </c>
      <c r="F189" s="100">
        <f t="shared" ref="F189:K189" si="90">F190</f>
        <v>0</v>
      </c>
      <c r="G189" s="100">
        <f t="shared" si="90"/>
        <v>0</v>
      </c>
      <c r="H189" s="100">
        <f t="shared" si="90"/>
        <v>0</v>
      </c>
      <c r="I189" s="100">
        <f t="shared" si="90"/>
        <v>0</v>
      </c>
      <c r="J189" s="85">
        <f t="shared" si="90"/>
        <v>0</v>
      </c>
      <c r="K189" s="101">
        <f t="shared" si="90"/>
        <v>0</v>
      </c>
    </row>
    <row r="190" spans="1:11" ht="14.25" hidden="1">
      <c r="A190" s="44" t="s">
        <v>102</v>
      </c>
      <c r="B190" s="148" t="s">
        <v>103</v>
      </c>
      <c r="C190" s="45"/>
      <c r="D190" s="87"/>
      <c r="E190" s="88"/>
      <c r="F190" s="88"/>
      <c r="G190" s="88"/>
      <c r="H190" s="88">
        <f>G190</f>
        <v>0</v>
      </c>
      <c r="I190" s="88"/>
      <c r="J190" s="88">
        <f>H190-I190</f>
        <v>0</v>
      </c>
      <c r="K190" s="88"/>
    </row>
    <row r="191" spans="1:11" ht="30">
      <c r="A191" s="36" t="s">
        <v>281</v>
      </c>
      <c r="B191" s="146" t="s">
        <v>105</v>
      </c>
      <c r="C191" s="37"/>
      <c r="D191" s="83">
        <f>D192+D203+D207+D208</f>
        <v>0</v>
      </c>
      <c r="E191" s="83">
        <f>E192+E203+E207+E208</f>
        <v>39379913</v>
      </c>
      <c r="F191" s="83">
        <f t="shared" ref="F191:K191" si="91">F192+F203+F207+F208</f>
        <v>51039545</v>
      </c>
      <c r="G191" s="83">
        <f t="shared" si="91"/>
        <v>50665674</v>
      </c>
      <c r="H191" s="83">
        <f t="shared" si="91"/>
        <v>50665674</v>
      </c>
      <c r="I191" s="83">
        <f t="shared" si="91"/>
        <v>50665674</v>
      </c>
      <c r="J191" s="83">
        <f>J192+J203+J207+J208</f>
        <v>0</v>
      </c>
      <c r="K191" s="84">
        <f t="shared" si="91"/>
        <v>50745247</v>
      </c>
    </row>
    <row r="192" spans="1:11" ht="28.5">
      <c r="A192" s="56" t="s">
        <v>106</v>
      </c>
      <c r="B192" s="147" t="s">
        <v>107</v>
      </c>
      <c r="C192" s="41"/>
      <c r="D192" s="85">
        <f>D193+D194+D195+D196+D197+D198+D199+D200+D202</f>
        <v>0</v>
      </c>
      <c r="E192" s="85">
        <f>E193+E194+E195+E196+E197+E198+E199+E200+E202+E201</f>
        <v>19319913</v>
      </c>
      <c r="F192" s="85">
        <f t="shared" ref="F192:K192" si="92">F193+F194+F195+F196+F197+F198+F199+F200+F202+F201</f>
        <v>27169195</v>
      </c>
      <c r="G192" s="85">
        <f t="shared" si="92"/>
        <v>26801131</v>
      </c>
      <c r="H192" s="85">
        <f t="shared" si="92"/>
        <v>26801131</v>
      </c>
      <c r="I192" s="85">
        <f t="shared" si="92"/>
        <v>26801131</v>
      </c>
      <c r="J192" s="85">
        <f t="shared" si="92"/>
        <v>0</v>
      </c>
      <c r="K192" s="85">
        <f t="shared" si="92"/>
        <v>26880704</v>
      </c>
    </row>
    <row r="193" spans="1:11" ht="28.5" hidden="1">
      <c r="A193" s="44" t="s">
        <v>282</v>
      </c>
      <c r="B193" s="148" t="s">
        <v>109</v>
      </c>
      <c r="C193" s="45"/>
      <c r="D193" s="87"/>
      <c r="E193" s="95"/>
      <c r="F193" s="95"/>
      <c r="G193" s="95"/>
      <c r="H193" s="105"/>
      <c r="I193" s="105"/>
      <c r="J193" s="93">
        <f t="shared" ref="J193:J202" si="93">G193-I193</f>
        <v>0</v>
      </c>
      <c r="K193" s="99"/>
    </row>
    <row r="194" spans="1:11" ht="14.25" hidden="1">
      <c r="A194" s="44" t="s">
        <v>110</v>
      </c>
      <c r="B194" s="148" t="s">
        <v>111</v>
      </c>
      <c r="C194" s="45"/>
      <c r="D194" s="87"/>
      <c r="E194" s="95"/>
      <c r="F194" s="95"/>
      <c r="G194" s="95"/>
      <c r="H194" s="105"/>
      <c r="I194" s="105"/>
      <c r="J194" s="93">
        <f t="shared" si="93"/>
        <v>0</v>
      </c>
      <c r="K194" s="99"/>
    </row>
    <row r="195" spans="1:11" ht="28.5">
      <c r="A195" s="44" t="s">
        <v>112</v>
      </c>
      <c r="B195" s="148" t="s">
        <v>113</v>
      </c>
      <c r="C195" s="45"/>
      <c r="D195" s="87"/>
      <c r="E195" s="107">
        <v>11989913</v>
      </c>
      <c r="F195" s="107">
        <v>19252195</v>
      </c>
      <c r="G195" s="107">
        <v>18907930</v>
      </c>
      <c r="H195" s="107">
        <v>18907930</v>
      </c>
      <c r="I195" s="107">
        <v>18907930</v>
      </c>
      <c r="J195" s="53">
        <f t="shared" si="93"/>
        <v>0</v>
      </c>
      <c r="K195" s="108">
        <v>18987503</v>
      </c>
    </row>
    <row r="196" spans="1:11" ht="14.25" hidden="1">
      <c r="A196" s="44" t="s">
        <v>114</v>
      </c>
      <c r="B196" s="148" t="s">
        <v>115</v>
      </c>
      <c r="C196" s="45"/>
      <c r="D196" s="87"/>
      <c r="E196" s="107"/>
      <c r="F196" s="107"/>
      <c r="G196" s="107"/>
      <c r="H196" s="171"/>
      <c r="I196" s="171"/>
      <c r="J196" s="53">
        <f t="shared" si="93"/>
        <v>0</v>
      </c>
      <c r="K196" s="108"/>
    </row>
    <row r="197" spans="1:11" ht="14.25" hidden="1">
      <c r="A197" s="44" t="s">
        <v>116</v>
      </c>
      <c r="B197" s="148" t="s">
        <v>117</v>
      </c>
      <c r="C197" s="45"/>
      <c r="D197" s="87"/>
      <c r="E197" s="107"/>
      <c r="F197" s="107"/>
      <c r="G197" s="107"/>
      <c r="H197" s="107">
        <f>G197</f>
        <v>0</v>
      </c>
      <c r="I197" s="107"/>
      <c r="J197" s="53">
        <f t="shared" si="93"/>
        <v>0</v>
      </c>
      <c r="K197" s="108"/>
    </row>
    <row r="198" spans="1:11" ht="14.25" hidden="1">
      <c r="A198" s="44" t="s">
        <v>118</v>
      </c>
      <c r="B198" s="148" t="s">
        <v>119</v>
      </c>
      <c r="C198" s="45"/>
      <c r="D198" s="87"/>
      <c r="E198" s="107"/>
      <c r="F198" s="107"/>
      <c r="G198" s="107"/>
      <c r="H198" s="107">
        <f>G198</f>
        <v>0</v>
      </c>
      <c r="I198" s="171"/>
      <c r="J198" s="171">
        <f t="shared" si="93"/>
        <v>0</v>
      </c>
      <c r="K198" s="108"/>
    </row>
    <row r="199" spans="1:11" ht="28.5" hidden="1">
      <c r="A199" s="44" t="s">
        <v>120</v>
      </c>
      <c r="B199" s="148" t="s">
        <v>121</v>
      </c>
      <c r="C199" s="45"/>
      <c r="D199" s="87"/>
      <c r="E199" s="107"/>
      <c r="F199" s="107"/>
      <c r="G199" s="107"/>
      <c r="H199" s="107">
        <f>G199</f>
        <v>0</v>
      </c>
      <c r="I199" s="171"/>
      <c r="J199" s="171">
        <f t="shared" si="93"/>
        <v>0</v>
      </c>
      <c r="K199" s="108"/>
    </row>
    <row r="200" spans="1:11" ht="28.5" hidden="1">
      <c r="A200" s="44" t="s">
        <v>122</v>
      </c>
      <c r="B200" s="148" t="s">
        <v>123</v>
      </c>
      <c r="C200" s="45"/>
      <c r="D200" s="87"/>
      <c r="E200" s="107"/>
      <c r="F200" s="107"/>
      <c r="G200" s="107"/>
      <c r="H200" s="107">
        <f>G200</f>
        <v>0</v>
      </c>
      <c r="I200" s="171"/>
      <c r="J200" s="171">
        <f t="shared" si="93"/>
        <v>0</v>
      </c>
      <c r="K200" s="108"/>
    </row>
    <row r="201" spans="1:11" ht="27.75" customHeight="1">
      <c r="A201" s="44" t="s">
        <v>124</v>
      </c>
      <c r="B201" s="148" t="s">
        <v>125</v>
      </c>
      <c r="C201" s="45"/>
      <c r="D201" s="87"/>
      <c r="E201" s="107">
        <v>7000000</v>
      </c>
      <c r="F201" s="107">
        <v>7600000</v>
      </c>
      <c r="G201" s="107">
        <v>7588879</v>
      </c>
      <c r="H201" s="107">
        <v>7588879</v>
      </c>
      <c r="I201" s="171">
        <v>7588879</v>
      </c>
      <c r="J201" s="171">
        <f t="shared" si="93"/>
        <v>0</v>
      </c>
      <c r="K201" s="108">
        <v>7588879</v>
      </c>
    </row>
    <row r="202" spans="1:11" ht="25.5" customHeight="1">
      <c r="A202" s="44" t="s">
        <v>126</v>
      </c>
      <c r="B202" s="148" t="s">
        <v>127</v>
      </c>
      <c r="C202" s="45"/>
      <c r="D202" s="87"/>
      <c r="E202" s="107">
        <v>330000</v>
      </c>
      <c r="F202" s="107">
        <v>317000</v>
      </c>
      <c r="G202" s="107">
        <v>304322</v>
      </c>
      <c r="H202" s="107">
        <v>304322</v>
      </c>
      <c r="I202" s="107">
        <v>304322</v>
      </c>
      <c r="J202" s="171">
        <f t="shared" si="93"/>
        <v>0</v>
      </c>
      <c r="K202" s="108">
        <v>304322</v>
      </c>
    </row>
    <row r="203" spans="1:11" ht="28.5">
      <c r="A203" s="56" t="s">
        <v>283</v>
      </c>
      <c r="B203" s="147" t="s">
        <v>129</v>
      </c>
      <c r="C203" s="41"/>
      <c r="D203" s="85">
        <f>D204+D205+D206</f>
        <v>0</v>
      </c>
      <c r="E203" s="85">
        <f>E204+E205+E206</f>
        <v>20000000</v>
      </c>
      <c r="F203" s="85">
        <f t="shared" ref="F203:K203" si="94">F204+F205+F206</f>
        <v>23810350</v>
      </c>
      <c r="G203" s="85">
        <f t="shared" si="94"/>
        <v>23804543</v>
      </c>
      <c r="H203" s="85">
        <f t="shared" si="94"/>
        <v>23804543</v>
      </c>
      <c r="I203" s="85">
        <f t="shared" si="94"/>
        <v>23804543</v>
      </c>
      <c r="J203" s="85">
        <f t="shared" si="94"/>
        <v>0</v>
      </c>
      <c r="K203" s="85">
        <f t="shared" si="94"/>
        <v>23804543</v>
      </c>
    </row>
    <row r="204" spans="1:11" ht="23.25" customHeight="1">
      <c r="A204" s="44" t="s">
        <v>130</v>
      </c>
      <c r="B204" s="148" t="s">
        <v>131</v>
      </c>
      <c r="C204" s="45"/>
      <c r="D204" s="103"/>
      <c r="E204" s="95">
        <v>7000000</v>
      </c>
      <c r="F204" s="95">
        <v>10490000</v>
      </c>
      <c r="G204" s="95">
        <v>10486054</v>
      </c>
      <c r="H204" s="95">
        <v>10486054</v>
      </c>
      <c r="I204" s="95">
        <v>10486054</v>
      </c>
      <c r="J204" s="138">
        <f>G204-I204</f>
        <v>0</v>
      </c>
      <c r="K204" s="99">
        <v>10486054</v>
      </c>
    </row>
    <row r="205" spans="1:11" ht="14.25" hidden="1">
      <c r="A205" s="44" t="s">
        <v>132</v>
      </c>
      <c r="B205" s="148" t="s">
        <v>133</v>
      </c>
      <c r="C205" s="45"/>
      <c r="D205" s="103"/>
      <c r="E205" s="95"/>
      <c r="F205" s="95"/>
      <c r="G205" s="95"/>
      <c r="H205" s="105"/>
      <c r="I205" s="105"/>
      <c r="J205" s="138">
        <f>G205-I205</f>
        <v>0</v>
      </c>
      <c r="K205" s="99"/>
    </row>
    <row r="206" spans="1:11" ht="28.5">
      <c r="A206" s="44" t="s">
        <v>134</v>
      </c>
      <c r="B206" s="148" t="s">
        <v>135</v>
      </c>
      <c r="C206" s="45"/>
      <c r="D206" s="103"/>
      <c r="E206" s="95">
        <v>13000000</v>
      </c>
      <c r="F206" s="95">
        <v>13320350</v>
      </c>
      <c r="G206" s="95">
        <v>13318489</v>
      </c>
      <c r="H206" s="95">
        <v>13318489</v>
      </c>
      <c r="I206" s="95">
        <v>13318489</v>
      </c>
      <c r="J206" s="138">
        <f>G206-I206</f>
        <v>0</v>
      </c>
      <c r="K206" s="99">
        <v>13318489</v>
      </c>
    </row>
    <row r="207" spans="1:11" ht="21.75" customHeight="1">
      <c r="A207" s="44" t="s">
        <v>136</v>
      </c>
      <c r="B207" s="148" t="s">
        <v>137</v>
      </c>
      <c r="C207" s="45"/>
      <c r="D207" s="103"/>
      <c r="E207" s="95">
        <v>60000</v>
      </c>
      <c r="F207" s="95">
        <v>60000</v>
      </c>
      <c r="G207" s="95">
        <v>60000</v>
      </c>
      <c r="H207" s="105">
        <v>60000</v>
      </c>
      <c r="I207" s="105">
        <v>60000</v>
      </c>
      <c r="J207" s="138">
        <f>G207-I207</f>
        <v>0</v>
      </c>
      <c r="K207" s="99">
        <v>60000</v>
      </c>
    </row>
    <row r="208" spans="1:11" ht="28.5" hidden="1">
      <c r="A208" s="44" t="s">
        <v>284</v>
      </c>
      <c r="B208" s="148" t="s">
        <v>139</v>
      </c>
      <c r="C208" s="45"/>
      <c r="D208" s="103"/>
      <c r="E208" s="95"/>
      <c r="F208" s="95"/>
      <c r="G208" s="95"/>
      <c r="H208" s="95">
        <f>G208</f>
        <v>0</v>
      </c>
      <c r="I208" s="95">
        <f>G208</f>
        <v>0</v>
      </c>
      <c r="J208" s="138">
        <f>G208-I208</f>
        <v>0</v>
      </c>
      <c r="K208" s="99">
        <v>0</v>
      </c>
    </row>
    <row r="209" spans="1:11" ht="60">
      <c r="A209" s="36" t="s">
        <v>285</v>
      </c>
      <c r="B209" s="146" t="s">
        <v>142</v>
      </c>
      <c r="C209" s="37"/>
      <c r="D209" s="83">
        <f>D210+D211+D213+D214+D215+D216+D217+D220</f>
        <v>0</v>
      </c>
      <c r="E209" s="83">
        <f>E210+E211+E213+E214+E215+E216+E217+E220</f>
        <v>78397266</v>
      </c>
      <c r="F209" s="83">
        <f t="shared" ref="F209:K209" si="95">F210+F211+F213+F214+F215+F216+F217+F220</f>
        <v>90160965</v>
      </c>
      <c r="G209" s="83">
        <f t="shared" si="95"/>
        <v>89748331</v>
      </c>
      <c r="H209" s="83">
        <f t="shared" si="95"/>
        <v>89748331</v>
      </c>
      <c r="I209" s="83">
        <f t="shared" si="95"/>
        <v>89748331</v>
      </c>
      <c r="J209" s="83">
        <f t="shared" si="95"/>
        <v>0</v>
      </c>
      <c r="K209" s="83">
        <f t="shared" si="95"/>
        <v>89299014</v>
      </c>
    </row>
    <row r="210" spans="1:11" ht="14.25" hidden="1">
      <c r="A210" s="44" t="s">
        <v>143</v>
      </c>
      <c r="B210" s="148" t="s">
        <v>144</v>
      </c>
      <c r="C210" s="45"/>
      <c r="D210" s="87"/>
      <c r="E210" s="51"/>
      <c r="F210" s="51"/>
      <c r="G210" s="51"/>
      <c r="H210" s="74"/>
      <c r="I210" s="74"/>
      <c r="J210" s="105">
        <f>G210-I210</f>
        <v>0</v>
      </c>
      <c r="K210" s="96"/>
    </row>
    <row r="211" spans="1:11" ht="28.5">
      <c r="A211" s="56" t="s">
        <v>145</v>
      </c>
      <c r="B211" s="147" t="s">
        <v>146</v>
      </c>
      <c r="C211" s="41"/>
      <c r="D211" s="85">
        <f>D212</f>
        <v>0</v>
      </c>
      <c r="E211" s="100">
        <f>E212</f>
        <v>57364000</v>
      </c>
      <c r="F211" s="100">
        <f t="shared" ref="F211:K211" si="96">F212</f>
        <v>66999000</v>
      </c>
      <c r="G211" s="85">
        <f t="shared" si="96"/>
        <v>66880050</v>
      </c>
      <c r="H211" s="85">
        <f t="shared" si="96"/>
        <v>66880050</v>
      </c>
      <c r="I211" s="85">
        <f t="shared" si="96"/>
        <v>66880050</v>
      </c>
      <c r="J211" s="85">
        <f t="shared" si="96"/>
        <v>0</v>
      </c>
      <c r="K211" s="86">
        <f t="shared" si="96"/>
        <v>62417944</v>
      </c>
    </row>
    <row r="212" spans="1:11" ht="15" customHeight="1">
      <c r="A212" s="44" t="s">
        <v>147</v>
      </c>
      <c r="B212" s="148" t="s">
        <v>148</v>
      </c>
      <c r="C212" s="45"/>
      <c r="D212" s="87"/>
      <c r="E212" s="107">
        <f>19000000+38364000</f>
        <v>57364000</v>
      </c>
      <c r="F212" s="107">
        <f>47029000+19970000</f>
        <v>66999000</v>
      </c>
      <c r="G212" s="107">
        <f>46933870+19946180</f>
        <v>66880050</v>
      </c>
      <c r="H212" s="107">
        <f>G212</f>
        <v>66880050</v>
      </c>
      <c r="I212" s="107">
        <f>H212</f>
        <v>66880050</v>
      </c>
      <c r="J212" s="107">
        <f>H212-I212</f>
        <v>0</v>
      </c>
      <c r="K212" s="108">
        <f>42562604+19855340</f>
        <v>62417944</v>
      </c>
    </row>
    <row r="213" spans="1:11" ht="15" customHeight="1">
      <c r="A213" s="44" t="s">
        <v>149</v>
      </c>
      <c r="B213" s="148" t="s">
        <v>150</v>
      </c>
      <c r="C213" s="45"/>
      <c r="D213" s="87"/>
      <c r="E213" s="107">
        <v>1900000</v>
      </c>
      <c r="F213" s="107">
        <f>1743000</f>
        <v>1743000</v>
      </c>
      <c r="G213" s="107">
        <f>1720305</f>
        <v>1720305</v>
      </c>
      <c r="H213" s="107">
        <f>G213</f>
        <v>1720305</v>
      </c>
      <c r="I213" s="107">
        <f>G213</f>
        <v>1720305</v>
      </c>
      <c r="J213" s="107">
        <f>H213-I213</f>
        <v>0</v>
      </c>
      <c r="K213" s="108">
        <f>1839750</f>
        <v>1839750</v>
      </c>
    </row>
    <row r="214" spans="1:11" ht="15" customHeight="1">
      <c r="A214" s="44" t="s">
        <v>151</v>
      </c>
      <c r="B214" s="148" t="s">
        <v>152</v>
      </c>
      <c r="C214" s="45"/>
      <c r="D214" s="87"/>
      <c r="E214" s="107">
        <v>162500</v>
      </c>
      <c r="F214" s="107">
        <v>233548</v>
      </c>
      <c r="G214" s="107">
        <v>229900</v>
      </c>
      <c r="H214" s="107">
        <v>229900</v>
      </c>
      <c r="I214" s="171">
        <v>229900</v>
      </c>
      <c r="J214" s="107">
        <f>H214-I214</f>
        <v>0</v>
      </c>
      <c r="K214" s="108">
        <v>225060</v>
      </c>
    </row>
    <row r="215" spans="1:11" ht="14.25" hidden="1">
      <c r="A215" s="44" t="s">
        <v>153</v>
      </c>
      <c r="B215" s="155" t="s">
        <v>154</v>
      </c>
      <c r="C215" s="45"/>
      <c r="D215" s="87"/>
      <c r="E215" s="107"/>
      <c r="F215" s="107"/>
      <c r="G215" s="107"/>
      <c r="H215" s="107">
        <f>G215</f>
        <v>0</v>
      </c>
      <c r="I215" s="107"/>
      <c r="J215" s="107">
        <f>H215-I215</f>
        <v>0</v>
      </c>
      <c r="K215" s="107"/>
    </row>
    <row r="216" spans="1:11" ht="14.25" hidden="1">
      <c r="A216" s="44" t="s">
        <v>155</v>
      </c>
      <c r="B216" s="149" t="s">
        <v>156</v>
      </c>
      <c r="C216" s="55"/>
      <c r="D216" s="87"/>
      <c r="E216" s="107"/>
      <c r="F216" s="107"/>
      <c r="G216" s="107"/>
      <c r="H216" s="171"/>
      <c r="I216" s="171"/>
      <c r="J216" s="171">
        <f>G216-I216</f>
        <v>0</v>
      </c>
      <c r="K216" s="108">
        <f>I216</f>
        <v>0</v>
      </c>
    </row>
    <row r="217" spans="1:11" ht="28.5">
      <c r="A217" s="40" t="s">
        <v>157</v>
      </c>
      <c r="B217" s="147" t="s">
        <v>158</v>
      </c>
      <c r="C217" s="41"/>
      <c r="D217" s="85">
        <f>D218+D219</f>
        <v>0</v>
      </c>
      <c r="E217" s="85">
        <f>E218+E219</f>
        <v>7519140</v>
      </c>
      <c r="F217" s="85">
        <f t="shared" ref="F217:K217" si="97">F218+F219</f>
        <v>9748140</v>
      </c>
      <c r="G217" s="85">
        <f t="shared" si="97"/>
        <v>9747613</v>
      </c>
      <c r="H217" s="85">
        <f t="shared" si="97"/>
        <v>9747613</v>
      </c>
      <c r="I217" s="85">
        <f t="shared" si="97"/>
        <v>9747613</v>
      </c>
      <c r="J217" s="85">
        <f t="shared" si="97"/>
        <v>0</v>
      </c>
      <c r="K217" s="86">
        <f t="shared" si="97"/>
        <v>13430821</v>
      </c>
    </row>
    <row r="218" spans="1:11" ht="14.25">
      <c r="A218" s="44" t="s">
        <v>159</v>
      </c>
      <c r="B218" s="148" t="s">
        <v>160</v>
      </c>
      <c r="C218" s="45"/>
      <c r="D218" s="87"/>
      <c r="E218" s="95">
        <f>7500000+19140</f>
        <v>7519140</v>
      </c>
      <c r="F218" s="95">
        <f>9729000+19140</f>
        <v>9748140</v>
      </c>
      <c r="G218" s="95">
        <f>9728473+19140</f>
        <v>9747613</v>
      </c>
      <c r="H218" s="95">
        <f>9728473+19140</f>
        <v>9747613</v>
      </c>
      <c r="I218" s="95">
        <f>9728473+19140</f>
        <v>9747613</v>
      </c>
      <c r="J218" s="138">
        <f>G218-I218</f>
        <v>0</v>
      </c>
      <c r="K218" s="99">
        <f>9728473+3702348</f>
        <v>13430821</v>
      </c>
    </row>
    <row r="219" spans="1:11" ht="21" hidden="1" customHeight="1">
      <c r="A219" s="44" t="s">
        <v>161</v>
      </c>
      <c r="B219" s="148" t="s">
        <v>162</v>
      </c>
      <c r="C219" s="45"/>
      <c r="D219" s="87"/>
      <c r="E219" s="51"/>
      <c r="F219" s="51"/>
      <c r="G219" s="51"/>
      <c r="H219" s="51"/>
      <c r="I219" s="74"/>
      <c r="J219" s="138">
        <f>G219-I219</f>
        <v>0</v>
      </c>
      <c r="K219" s="99"/>
    </row>
    <row r="220" spans="1:11" ht="28.5">
      <c r="A220" s="44" t="s">
        <v>163</v>
      </c>
      <c r="B220" s="155" t="s">
        <v>164</v>
      </c>
      <c r="C220" s="45"/>
      <c r="D220" s="87"/>
      <c r="E220" s="95">
        <f>30000+11421626</f>
        <v>11451626</v>
      </c>
      <c r="F220" s="95">
        <f>11411204+30000-3927</f>
        <v>11437277</v>
      </c>
      <c r="G220" s="95">
        <f>11150463+20000</f>
        <v>11170463</v>
      </c>
      <c r="H220" s="95">
        <f>11150463+20000</f>
        <v>11170463</v>
      </c>
      <c r="I220" s="95">
        <f>11150463+20000</f>
        <v>11170463</v>
      </c>
      <c r="J220" s="138">
        <f>G220-I220</f>
        <v>0</v>
      </c>
      <c r="K220" s="95">
        <f>21399+11344040+20000</f>
        <v>11385439</v>
      </c>
    </row>
    <row r="221" spans="1:11" ht="45">
      <c r="A221" s="32" t="s">
        <v>167</v>
      </c>
      <c r="B221" s="145"/>
      <c r="C221" s="33"/>
      <c r="D221" s="82">
        <f t="shared" ref="D221:K221" si="98">D222+D232</f>
        <v>0</v>
      </c>
      <c r="E221" s="82">
        <f t="shared" si="98"/>
        <v>45139595</v>
      </c>
      <c r="F221" s="82">
        <f t="shared" si="98"/>
        <v>49453972</v>
      </c>
      <c r="G221" s="82">
        <f t="shared" si="98"/>
        <v>45632513</v>
      </c>
      <c r="H221" s="82">
        <f t="shared" si="98"/>
        <v>45632513</v>
      </c>
      <c r="I221" s="82">
        <f t="shared" si="98"/>
        <v>45632513</v>
      </c>
      <c r="J221" s="82">
        <f t="shared" si="98"/>
        <v>0</v>
      </c>
      <c r="K221" s="98">
        <f t="shared" si="98"/>
        <v>38161526</v>
      </c>
    </row>
    <row r="222" spans="1:11" ht="45">
      <c r="A222" s="36" t="s">
        <v>286</v>
      </c>
      <c r="B222" s="146" t="s">
        <v>169</v>
      </c>
      <c r="C222" s="37"/>
      <c r="D222" s="83">
        <f t="shared" ref="D222:K222" si="99">D223+D226+D229+D230+D231</f>
        <v>0</v>
      </c>
      <c r="E222" s="83">
        <f t="shared" si="99"/>
        <v>36994489</v>
      </c>
      <c r="F222" s="83">
        <f t="shared" si="99"/>
        <v>39798866</v>
      </c>
      <c r="G222" s="83">
        <f t="shared" si="99"/>
        <v>35983355</v>
      </c>
      <c r="H222" s="83">
        <f t="shared" si="99"/>
        <v>35983355</v>
      </c>
      <c r="I222" s="83">
        <f>I223+I226+I229+I230+I231</f>
        <v>35983355</v>
      </c>
      <c r="J222" s="83">
        <f t="shared" si="99"/>
        <v>0</v>
      </c>
      <c r="K222" s="84">
        <f t="shared" si="99"/>
        <v>28400025</v>
      </c>
    </row>
    <row r="223" spans="1:11" ht="20.25" customHeight="1">
      <c r="A223" s="56" t="s">
        <v>170</v>
      </c>
      <c r="B223" s="147" t="s">
        <v>171</v>
      </c>
      <c r="C223" s="41"/>
      <c r="D223" s="85">
        <f>D224+D225</f>
        <v>0</v>
      </c>
      <c r="E223" s="85">
        <f>E224+E225</f>
        <v>0</v>
      </c>
      <c r="F223" s="85">
        <f t="shared" ref="F223:K223" si="100">F224+F225</f>
        <v>0</v>
      </c>
      <c r="G223" s="100">
        <f t="shared" si="100"/>
        <v>0</v>
      </c>
      <c r="H223" s="100">
        <f t="shared" si="100"/>
        <v>0</v>
      </c>
      <c r="I223" s="100">
        <f t="shared" si="100"/>
        <v>0</v>
      </c>
      <c r="J223" s="85">
        <f>J224+J225</f>
        <v>0</v>
      </c>
      <c r="K223" s="101">
        <f t="shared" si="100"/>
        <v>3700</v>
      </c>
    </row>
    <row r="224" spans="1:11" ht="14.25" hidden="1">
      <c r="A224" s="44" t="s">
        <v>172</v>
      </c>
      <c r="B224" s="148" t="s">
        <v>173</v>
      </c>
      <c r="C224" s="45"/>
      <c r="D224" s="87"/>
      <c r="E224" s="51"/>
      <c r="F224" s="51"/>
      <c r="G224" s="107"/>
      <c r="H224" s="107"/>
      <c r="I224" s="107"/>
      <c r="J224" s="95">
        <f>G224-I224</f>
        <v>0</v>
      </c>
      <c r="K224" s="108"/>
    </row>
    <row r="225" spans="1:11" ht="26.25" customHeight="1">
      <c r="A225" s="44" t="s">
        <v>174</v>
      </c>
      <c r="B225" s="148" t="s">
        <v>175</v>
      </c>
      <c r="C225" s="45"/>
      <c r="D225" s="87"/>
      <c r="E225" s="109"/>
      <c r="F225" s="51"/>
      <c r="G225" s="107"/>
      <c r="H225" s="107"/>
      <c r="I225" s="107"/>
      <c r="J225" s="95">
        <f>G225-I225</f>
        <v>0</v>
      </c>
      <c r="K225" s="108">
        <v>3700</v>
      </c>
    </row>
    <row r="226" spans="1:11" ht="42.75">
      <c r="A226" s="56" t="s">
        <v>287</v>
      </c>
      <c r="B226" s="147" t="s">
        <v>177</v>
      </c>
      <c r="C226" s="41"/>
      <c r="D226" s="85">
        <f>D227+D228</f>
        <v>0</v>
      </c>
      <c r="E226" s="85">
        <f>E227+E228</f>
        <v>10335000</v>
      </c>
      <c r="F226" s="85">
        <f t="shared" ref="F226:K226" si="101">F227+F228</f>
        <v>10197972</v>
      </c>
      <c r="G226" s="85">
        <f t="shared" si="101"/>
        <v>6697046</v>
      </c>
      <c r="H226" s="85">
        <f t="shared" si="101"/>
        <v>6697046</v>
      </c>
      <c r="I226" s="85">
        <f t="shared" si="101"/>
        <v>6697046</v>
      </c>
      <c r="J226" s="85">
        <f>J227+J228</f>
        <v>0</v>
      </c>
      <c r="K226" s="85">
        <f t="shared" si="101"/>
        <v>225832</v>
      </c>
    </row>
    <row r="227" spans="1:11" ht="30" customHeight="1">
      <c r="A227" s="44" t="s">
        <v>178</v>
      </c>
      <c r="B227" s="148" t="s">
        <v>179</v>
      </c>
      <c r="C227" s="45"/>
      <c r="D227" s="103"/>
      <c r="E227" s="107">
        <v>10335000</v>
      </c>
      <c r="F227" s="107">
        <v>10197972</v>
      </c>
      <c r="G227" s="107">
        <v>6697046</v>
      </c>
      <c r="H227" s="107">
        <f>G227</f>
        <v>6697046</v>
      </c>
      <c r="I227" s="107">
        <f>H227</f>
        <v>6697046</v>
      </c>
      <c r="J227" s="53">
        <f>G227-I227</f>
        <v>0</v>
      </c>
      <c r="K227" s="53">
        <v>225832</v>
      </c>
    </row>
    <row r="228" spans="1:11" ht="24" hidden="1" customHeight="1">
      <c r="A228" s="44" t="s">
        <v>180</v>
      </c>
      <c r="B228" s="148" t="s">
        <v>181</v>
      </c>
      <c r="C228" s="45"/>
      <c r="D228" s="103"/>
      <c r="E228" s="107"/>
      <c r="F228" s="107"/>
      <c r="G228" s="107"/>
      <c r="H228" s="107"/>
      <c r="I228" s="107"/>
      <c r="J228" s="53">
        <f>G228-I228</f>
        <v>0</v>
      </c>
      <c r="K228" s="108"/>
    </row>
    <row r="229" spans="1:11" ht="24.75" customHeight="1">
      <c r="A229" s="44" t="s">
        <v>182</v>
      </c>
      <c r="B229" s="148" t="s">
        <v>183</v>
      </c>
      <c r="C229" s="45"/>
      <c r="D229" s="103"/>
      <c r="E229" s="107">
        <v>8000000</v>
      </c>
      <c r="F229" s="107">
        <v>9540000</v>
      </c>
      <c r="G229" s="107">
        <v>9518515</v>
      </c>
      <c r="H229" s="171">
        <f>G229</f>
        <v>9518515</v>
      </c>
      <c r="I229" s="107">
        <f>H229</f>
        <v>9518515</v>
      </c>
      <c r="J229" s="171">
        <f>G229-I229</f>
        <v>0</v>
      </c>
      <c r="K229" s="108">
        <v>9518515</v>
      </c>
    </row>
    <row r="230" spans="1:11" ht="20.25" hidden="1" customHeight="1">
      <c r="A230" s="44" t="s">
        <v>184</v>
      </c>
      <c r="B230" s="148" t="s">
        <v>185</v>
      </c>
      <c r="C230" s="45"/>
      <c r="D230" s="103"/>
      <c r="E230" s="107"/>
      <c r="F230" s="107"/>
      <c r="G230" s="107"/>
      <c r="H230" s="107"/>
      <c r="I230" s="107"/>
      <c r="J230" s="53">
        <f>G230-I230</f>
        <v>0</v>
      </c>
      <c r="K230" s="108"/>
    </row>
    <row r="231" spans="1:11" ht="28.5">
      <c r="A231" s="44" t="s">
        <v>186</v>
      </c>
      <c r="B231" s="148" t="s">
        <v>187</v>
      </c>
      <c r="C231" s="45"/>
      <c r="D231" s="103"/>
      <c r="E231" s="107">
        <f>18647489+12000</f>
        <v>18659489</v>
      </c>
      <c r="F231" s="107">
        <v>20060894</v>
      </c>
      <c r="G231" s="107">
        <f>I231</f>
        <v>19767794</v>
      </c>
      <c r="H231" s="107">
        <f>I231</f>
        <v>19767794</v>
      </c>
      <c r="I231" s="107">
        <v>19767794</v>
      </c>
      <c r="J231" s="53">
        <f>G231-I231</f>
        <v>0</v>
      </c>
      <c r="K231" s="108">
        <f>18650093+1885</f>
        <v>18651978</v>
      </c>
    </row>
    <row r="232" spans="1:11" ht="30">
      <c r="A232" s="36" t="s">
        <v>188</v>
      </c>
      <c r="B232" s="146" t="s">
        <v>189</v>
      </c>
      <c r="C232" s="37"/>
      <c r="D232" s="83">
        <f>D233+D234+D237</f>
        <v>0</v>
      </c>
      <c r="E232" s="83">
        <f>E233+E234+E237</f>
        <v>8145106</v>
      </c>
      <c r="F232" s="83">
        <f t="shared" ref="F232:K232" si="102">F233+F234+F237</f>
        <v>9655106</v>
      </c>
      <c r="G232" s="83">
        <f t="shared" si="102"/>
        <v>9649158</v>
      </c>
      <c r="H232" s="83">
        <f t="shared" si="102"/>
        <v>9649158</v>
      </c>
      <c r="I232" s="83">
        <f t="shared" si="102"/>
        <v>9649158</v>
      </c>
      <c r="J232" s="83">
        <f t="shared" si="102"/>
        <v>0</v>
      </c>
      <c r="K232" s="84">
        <f t="shared" si="102"/>
        <v>9761501</v>
      </c>
    </row>
    <row r="233" spans="1:11" ht="14.25" hidden="1">
      <c r="A233" s="44" t="s">
        <v>190</v>
      </c>
      <c r="B233" s="149" t="s">
        <v>191</v>
      </c>
      <c r="C233" s="55"/>
      <c r="D233" s="87"/>
      <c r="E233" s="51"/>
      <c r="F233" s="51"/>
      <c r="G233" s="51"/>
      <c r="H233" s="51"/>
      <c r="I233" s="111"/>
      <c r="J233" s="112">
        <f>G233-I233</f>
        <v>0</v>
      </c>
      <c r="K233" s="96"/>
    </row>
    <row r="234" spans="1:11" ht="28.5">
      <c r="A234" s="56" t="s">
        <v>288</v>
      </c>
      <c r="B234" s="147" t="s">
        <v>193</v>
      </c>
      <c r="C234" s="41"/>
      <c r="D234" s="85">
        <f>D235+D236</f>
        <v>0</v>
      </c>
      <c r="E234" s="85">
        <f>E235+E236</f>
        <v>8145106</v>
      </c>
      <c r="F234" s="85">
        <f t="shared" ref="F234:K234" si="103">F235+F236</f>
        <v>9655106</v>
      </c>
      <c r="G234" s="85">
        <f t="shared" si="103"/>
        <v>9649158</v>
      </c>
      <c r="H234" s="85">
        <f t="shared" si="103"/>
        <v>9649158</v>
      </c>
      <c r="I234" s="85">
        <f t="shared" si="103"/>
        <v>9649158</v>
      </c>
      <c r="J234" s="85">
        <f t="shared" si="103"/>
        <v>0</v>
      </c>
      <c r="K234" s="86">
        <f t="shared" si="103"/>
        <v>9761501</v>
      </c>
    </row>
    <row r="235" spans="1:11" ht="23.25" customHeight="1">
      <c r="A235" s="44" t="s">
        <v>194</v>
      </c>
      <c r="B235" s="148" t="s">
        <v>195</v>
      </c>
      <c r="C235" s="45"/>
      <c r="D235" s="103"/>
      <c r="E235" s="95">
        <v>7815106</v>
      </c>
      <c r="F235" s="95">
        <v>9484731</v>
      </c>
      <c r="G235" s="95">
        <v>9478783</v>
      </c>
      <c r="H235" s="95">
        <f>G235</f>
        <v>9478783</v>
      </c>
      <c r="I235" s="95">
        <v>9478783</v>
      </c>
      <c r="J235" s="105">
        <f>G235-I235</f>
        <v>0</v>
      </c>
      <c r="K235" s="99">
        <v>9591126</v>
      </c>
    </row>
    <row r="236" spans="1:11" ht="28.5">
      <c r="A236" s="44" t="s">
        <v>196</v>
      </c>
      <c r="B236" s="148" t="s">
        <v>197</v>
      </c>
      <c r="C236" s="45"/>
      <c r="D236" s="87"/>
      <c r="E236" s="95">
        <v>330000</v>
      </c>
      <c r="F236" s="95">
        <v>170375</v>
      </c>
      <c r="G236" s="95">
        <v>170375</v>
      </c>
      <c r="H236" s="105">
        <v>170375</v>
      </c>
      <c r="I236" s="105">
        <v>170375</v>
      </c>
      <c r="J236" s="105">
        <f>G236-I236</f>
        <v>0</v>
      </c>
      <c r="K236" s="99">
        <v>170375</v>
      </c>
    </row>
    <row r="237" spans="1:11" ht="14.25" hidden="1">
      <c r="A237" s="44" t="s">
        <v>198</v>
      </c>
      <c r="B237" s="148" t="s">
        <v>199</v>
      </c>
      <c r="C237" s="45"/>
      <c r="D237" s="87"/>
      <c r="E237" s="51"/>
      <c r="F237" s="51"/>
      <c r="G237" s="51"/>
      <c r="H237" s="74">
        <f>G237</f>
        <v>0</v>
      </c>
      <c r="I237" s="51">
        <f>H237</f>
        <v>0</v>
      </c>
      <c r="J237" s="105">
        <f>G237-I237</f>
        <v>0</v>
      </c>
      <c r="K237" s="96"/>
    </row>
    <row r="238" spans="1:11" ht="30">
      <c r="A238" s="32" t="s">
        <v>202</v>
      </c>
      <c r="B238" s="145" t="s">
        <v>203</v>
      </c>
      <c r="C238" s="33"/>
      <c r="D238" s="82">
        <f>D239+D245+D249+D254+D262</f>
        <v>0</v>
      </c>
      <c r="E238" s="82">
        <f>E239+E245+E249+E254+E262</f>
        <v>70947340</v>
      </c>
      <c r="F238" s="82">
        <f t="shared" ref="F238:K238" si="104">F239+F245+F249+F254+F262</f>
        <v>70448340</v>
      </c>
      <c r="G238" s="82">
        <f t="shared" si="104"/>
        <v>70199784</v>
      </c>
      <c r="H238" s="82">
        <f t="shared" si="104"/>
        <v>70199784</v>
      </c>
      <c r="I238" s="82">
        <f t="shared" si="104"/>
        <v>70199784</v>
      </c>
      <c r="J238" s="82">
        <f>J239+J245+J249+J254+J262</f>
        <v>0</v>
      </c>
      <c r="K238" s="98">
        <f t="shared" si="104"/>
        <v>63762978</v>
      </c>
    </row>
    <row r="239" spans="1:11" ht="30" hidden="1">
      <c r="A239" s="36" t="s">
        <v>204</v>
      </c>
      <c r="B239" s="146" t="s">
        <v>205</v>
      </c>
      <c r="C239" s="37"/>
      <c r="D239" s="83">
        <f>D240</f>
        <v>0</v>
      </c>
      <c r="E239" s="83">
        <f>E240</f>
        <v>0</v>
      </c>
      <c r="F239" s="83">
        <f t="shared" ref="F239:K239" si="105">F240</f>
        <v>0</v>
      </c>
      <c r="G239" s="83">
        <f t="shared" si="105"/>
        <v>0</v>
      </c>
      <c r="H239" s="83">
        <f t="shared" si="105"/>
        <v>0</v>
      </c>
      <c r="I239" s="83">
        <f t="shared" si="105"/>
        <v>0</v>
      </c>
      <c r="J239" s="83">
        <f t="shared" si="105"/>
        <v>0</v>
      </c>
      <c r="K239" s="84">
        <f t="shared" si="105"/>
        <v>0</v>
      </c>
    </row>
    <row r="240" spans="1:11" ht="42.75" hidden="1">
      <c r="A240" s="56" t="s">
        <v>289</v>
      </c>
      <c r="B240" s="147" t="s">
        <v>207</v>
      </c>
      <c r="C240" s="41"/>
      <c r="D240" s="85">
        <f>D241+D242+D243+D244</f>
        <v>0</v>
      </c>
      <c r="E240" s="85">
        <f>E241+E242+E243+E244</f>
        <v>0</v>
      </c>
      <c r="F240" s="85">
        <f t="shared" ref="F240:K240" si="106">F241+F242+F243+F244</f>
        <v>0</v>
      </c>
      <c r="G240" s="85">
        <f t="shared" si="106"/>
        <v>0</v>
      </c>
      <c r="H240" s="85">
        <f t="shared" si="106"/>
        <v>0</v>
      </c>
      <c r="I240" s="85">
        <f t="shared" si="106"/>
        <v>0</v>
      </c>
      <c r="J240" s="85">
        <f>J241+J242+J243+J244</f>
        <v>0</v>
      </c>
      <c r="K240" s="86">
        <f t="shared" si="106"/>
        <v>0</v>
      </c>
    </row>
    <row r="241" spans="1:11" ht="28.5" hidden="1">
      <c r="A241" s="44" t="s">
        <v>208</v>
      </c>
      <c r="B241" s="148" t="s">
        <v>209</v>
      </c>
      <c r="C241" s="45"/>
      <c r="D241" s="87"/>
      <c r="E241" s="51"/>
      <c r="F241" s="51"/>
      <c r="G241" s="51"/>
      <c r="H241" s="74"/>
      <c r="I241" s="74"/>
      <c r="J241" s="105">
        <f>G241-I241</f>
        <v>0</v>
      </c>
      <c r="K241" s="96"/>
    </row>
    <row r="242" spans="1:11" ht="14.25" hidden="1">
      <c r="A242" s="44" t="s">
        <v>210</v>
      </c>
      <c r="B242" s="148" t="s">
        <v>211</v>
      </c>
      <c r="C242" s="45"/>
      <c r="D242" s="87"/>
      <c r="E242" s="51"/>
      <c r="F242" s="51"/>
      <c r="G242" s="51"/>
      <c r="H242" s="74"/>
      <c r="I242" s="74"/>
      <c r="J242" s="105">
        <f>G242-I242</f>
        <v>0</v>
      </c>
      <c r="K242" s="96"/>
    </row>
    <row r="243" spans="1:11" ht="28.5" hidden="1">
      <c r="A243" s="44" t="s">
        <v>212</v>
      </c>
      <c r="B243" s="148" t="s">
        <v>213</v>
      </c>
      <c r="C243" s="45"/>
      <c r="D243" s="87"/>
      <c r="E243" s="51"/>
      <c r="F243" s="51"/>
      <c r="G243" s="51"/>
      <c r="H243" s="74"/>
      <c r="I243" s="74"/>
      <c r="J243" s="105">
        <f>G243-I243</f>
        <v>0</v>
      </c>
      <c r="K243" s="96"/>
    </row>
    <row r="244" spans="1:11" ht="28.5" hidden="1">
      <c r="A244" s="44" t="s">
        <v>214</v>
      </c>
      <c r="B244" s="148" t="s">
        <v>215</v>
      </c>
      <c r="C244" s="45"/>
      <c r="D244" s="87"/>
      <c r="E244" s="51"/>
      <c r="F244" s="51"/>
      <c r="G244" s="51"/>
      <c r="H244" s="74"/>
      <c r="I244" s="74"/>
      <c r="J244" s="105">
        <f>G244-I244</f>
        <v>0</v>
      </c>
      <c r="K244" s="96"/>
    </row>
    <row r="245" spans="1:11" ht="30" hidden="1">
      <c r="A245" s="36" t="s">
        <v>290</v>
      </c>
      <c r="B245" s="146" t="s">
        <v>217</v>
      </c>
      <c r="C245" s="37"/>
      <c r="D245" s="83">
        <f>D246+D247+D248</f>
        <v>0</v>
      </c>
      <c r="E245" s="83">
        <f>E246+E247+E248</f>
        <v>0</v>
      </c>
      <c r="F245" s="83">
        <f t="shared" ref="F245:K245" si="107">F246+F247+F248</f>
        <v>0</v>
      </c>
      <c r="G245" s="83">
        <f t="shared" si="107"/>
        <v>0</v>
      </c>
      <c r="H245" s="83">
        <f t="shared" si="107"/>
        <v>0</v>
      </c>
      <c r="I245" s="83">
        <f t="shared" si="107"/>
        <v>0</v>
      </c>
      <c r="J245" s="83">
        <f t="shared" si="107"/>
        <v>0</v>
      </c>
      <c r="K245" s="84">
        <f t="shared" si="107"/>
        <v>0</v>
      </c>
    </row>
    <row r="246" spans="1:11" ht="14.25" hidden="1">
      <c r="A246" s="44" t="s">
        <v>218</v>
      </c>
      <c r="B246" s="149" t="s">
        <v>219</v>
      </c>
      <c r="C246" s="55"/>
      <c r="D246" s="87"/>
      <c r="E246" s="51"/>
      <c r="F246" s="51"/>
      <c r="G246" s="51"/>
      <c r="H246" s="113"/>
      <c r="I246" s="51"/>
      <c r="J246" s="95">
        <f>G246-I246</f>
        <v>0</v>
      </c>
      <c r="K246" s="96"/>
    </row>
    <row r="247" spans="1:11" ht="14.25" hidden="1">
      <c r="A247" s="44" t="s">
        <v>220</v>
      </c>
      <c r="B247" s="148" t="s">
        <v>221</v>
      </c>
      <c r="C247" s="45"/>
      <c r="D247" s="87"/>
      <c r="E247" s="51"/>
      <c r="F247" s="51"/>
      <c r="G247" s="51"/>
      <c r="H247" s="113"/>
      <c r="I247" s="51"/>
      <c r="J247" s="95">
        <f>G247-I247</f>
        <v>0</v>
      </c>
      <c r="K247" s="96"/>
    </row>
    <row r="248" spans="1:11" ht="28.5" hidden="1">
      <c r="A248" s="44" t="s">
        <v>222</v>
      </c>
      <c r="B248" s="148" t="s">
        <v>223</v>
      </c>
      <c r="C248" s="45"/>
      <c r="D248" s="87"/>
      <c r="E248" s="51"/>
      <c r="F248" s="51"/>
      <c r="G248" s="51"/>
      <c r="H248" s="113"/>
      <c r="I248" s="51"/>
      <c r="J248" s="95">
        <f>G248-I248</f>
        <v>0</v>
      </c>
      <c r="K248" s="96"/>
    </row>
    <row r="249" spans="1:11" ht="45">
      <c r="A249" s="36" t="s">
        <v>291</v>
      </c>
      <c r="B249" s="146" t="s">
        <v>225</v>
      </c>
      <c r="C249" s="37"/>
      <c r="D249" s="83">
        <f>D250</f>
        <v>0</v>
      </c>
      <c r="E249" s="83">
        <f>E250</f>
        <v>1300000</v>
      </c>
      <c r="F249" s="83">
        <f t="shared" ref="F249:K249" si="108">F250</f>
        <v>1440000</v>
      </c>
      <c r="G249" s="83">
        <f t="shared" si="108"/>
        <v>1378625</v>
      </c>
      <c r="H249" s="83">
        <f t="shared" si="108"/>
        <v>1378625</v>
      </c>
      <c r="I249" s="83">
        <f t="shared" si="108"/>
        <v>1378625</v>
      </c>
      <c r="J249" s="83">
        <f t="shared" si="108"/>
        <v>0</v>
      </c>
      <c r="K249" s="84">
        <f t="shared" si="108"/>
        <v>1431725</v>
      </c>
    </row>
    <row r="250" spans="1:11" ht="28.5">
      <c r="A250" s="56" t="s">
        <v>226</v>
      </c>
      <c r="B250" s="147" t="s">
        <v>227</v>
      </c>
      <c r="C250" s="41"/>
      <c r="D250" s="85">
        <f>D251+D252+D253</f>
        <v>0</v>
      </c>
      <c r="E250" s="85">
        <f>E251+E252+E253</f>
        <v>1300000</v>
      </c>
      <c r="F250" s="85">
        <f t="shared" ref="F250:K250" si="109">F251+F252+F253</f>
        <v>1440000</v>
      </c>
      <c r="G250" s="85">
        <f t="shared" si="109"/>
        <v>1378625</v>
      </c>
      <c r="H250" s="85">
        <f t="shared" si="109"/>
        <v>1378625</v>
      </c>
      <c r="I250" s="85">
        <f t="shared" si="109"/>
        <v>1378625</v>
      </c>
      <c r="J250" s="85">
        <f>J251+J252+J253</f>
        <v>0</v>
      </c>
      <c r="K250" s="86">
        <f t="shared" si="109"/>
        <v>1431725</v>
      </c>
    </row>
    <row r="251" spans="1:11" ht="28.5" hidden="1">
      <c r="A251" s="44" t="s">
        <v>228</v>
      </c>
      <c r="B251" s="149" t="s">
        <v>229</v>
      </c>
      <c r="C251" s="55"/>
      <c r="D251" s="87"/>
      <c r="E251" s="92"/>
      <c r="F251" s="92"/>
      <c r="G251" s="92"/>
      <c r="H251" s="92">
        <f>G251</f>
        <v>0</v>
      </c>
      <c r="I251" s="92">
        <f>G251</f>
        <v>0</v>
      </c>
      <c r="J251" s="93">
        <f>G251-I251</f>
        <v>0</v>
      </c>
      <c r="K251" s="94"/>
    </row>
    <row r="252" spans="1:11" ht="14.25" hidden="1">
      <c r="A252" s="44" t="s">
        <v>230</v>
      </c>
      <c r="B252" s="149" t="s">
        <v>231</v>
      </c>
      <c r="C252" s="55"/>
      <c r="D252" s="87"/>
      <c r="E252" s="51"/>
      <c r="F252" s="51"/>
      <c r="G252" s="51"/>
      <c r="H252" s="95">
        <f>G252</f>
        <v>0</v>
      </c>
      <c r="I252" s="51"/>
      <c r="J252" s="95">
        <f>G252-I252</f>
        <v>0</v>
      </c>
      <c r="K252" s="96"/>
    </row>
    <row r="253" spans="1:11" ht="24" customHeight="1">
      <c r="A253" s="44" t="s">
        <v>232</v>
      </c>
      <c r="B253" s="148" t="s">
        <v>233</v>
      </c>
      <c r="C253" s="45"/>
      <c r="D253" s="103"/>
      <c r="E253" s="95">
        <v>1300000</v>
      </c>
      <c r="F253" s="95">
        <v>1440000</v>
      </c>
      <c r="G253" s="95">
        <v>1378625</v>
      </c>
      <c r="H253" s="95">
        <f>G253</f>
        <v>1378625</v>
      </c>
      <c r="I253" s="95">
        <v>1378625</v>
      </c>
      <c r="J253" s="95">
        <f>G253-I253</f>
        <v>0</v>
      </c>
      <c r="K253" s="99">
        <v>1431725</v>
      </c>
    </row>
    <row r="254" spans="1:11" ht="30">
      <c r="A254" s="36" t="s">
        <v>234</v>
      </c>
      <c r="B254" s="146" t="s">
        <v>235</v>
      </c>
      <c r="C254" s="37"/>
      <c r="D254" s="83">
        <f t="shared" ref="D254:K254" si="110">D255+D259+D261</f>
        <v>0</v>
      </c>
      <c r="E254" s="83">
        <f>E255+E259+E261</f>
        <v>69647340</v>
      </c>
      <c r="F254" s="83">
        <f t="shared" si="110"/>
        <v>69008340</v>
      </c>
      <c r="G254" s="83">
        <f t="shared" si="110"/>
        <v>68821159</v>
      </c>
      <c r="H254" s="83">
        <f t="shared" si="110"/>
        <v>68821159</v>
      </c>
      <c r="I254" s="83">
        <f t="shared" si="110"/>
        <v>68821159</v>
      </c>
      <c r="J254" s="83">
        <f t="shared" si="110"/>
        <v>0</v>
      </c>
      <c r="K254" s="83">
        <f t="shared" si="110"/>
        <v>62331253</v>
      </c>
    </row>
    <row r="255" spans="1:11" ht="28.5">
      <c r="A255" s="40" t="s">
        <v>292</v>
      </c>
      <c r="B255" s="147" t="s">
        <v>237</v>
      </c>
      <c r="C255" s="41"/>
      <c r="D255" s="85">
        <f>D256+D257+D258</f>
        <v>0</v>
      </c>
      <c r="E255" s="85">
        <f>E256+E257+E258</f>
        <v>69647340</v>
      </c>
      <c r="F255" s="85">
        <f t="shared" ref="F255:K255" si="111">F256+F257+F258</f>
        <v>69008340</v>
      </c>
      <c r="G255" s="85">
        <f t="shared" si="111"/>
        <v>68821159</v>
      </c>
      <c r="H255" s="85">
        <f t="shared" si="111"/>
        <v>68821159</v>
      </c>
      <c r="I255" s="85">
        <f>I256+I257+I258</f>
        <v>68821159</v>
      </c>
      <c r="J255" s="85">
        <f>J256+J257+J258</f>
        <v>0</v>
      </c>
      <c r="K255" s="101">
        <f t="shared" si="111"/>
        <v>62329226</v>
      </c>
    </row>
    <row r="256" spans="1:11" ht="15" customHeight="1">
      <c r="A256" s="44" t="s">
        <v>238</v>
      </c>
      <c r="B256" s="148" t="s">
        <v>239</v>
      </c>
      <c r="C256" s="45"/>
      <c r="D256" s="87"/>
      <c r="E256" s="95">
        <v>12740000</v>
      </c>
      <c r="F256" s="114">
        <v>13681000</v>
      </c>
      <c r="G256" s="95">
        <v>13680060</v>
      </c>
      <c r="H256" s="95">
        <v>13680060</v>
      </c>
      <c r="I256" s="95">
        <v>13680060</v>
      </c>
      <c r="J256" s="95">
        <f>G256-I256</f>
        <v>0</v>
      </c>
      <c r="K256" s="99">
        <v>1088268</v>
      </c>
    </row>
    <row r="257" spans="1:11" ht="15" customHeight="1">
      <c r="A257" s="44" t="s">
        <v>240</v>
      </c>
      <c r="B257" s="148" t="s">
        <v>241</v>
      </c>
      <c r="C257" s="45"/>
      <c r="D257" s="103"/>
      <c r="E257" s="95">
        <v>12818000</v>
      </c>
      <c r="F257" s="95">
        <v>11173000</v>
      </c>
      <c r="G257" s="95">
        <v>11071323</v>
      </c>
      <c r="H257" s="95">
        <v>11071323</v>
      </c>
      <c r="I257" s="95">
        <v>11071323</v>
      </c>
      <c r="J257" s="95">
        <f>G257-I257</f>
        <v>0</v>
      </c>
      <c r="K257" s="99">
        <v>12797778</v>
      </c>
    </row>
    <row r="258" spans="1:11" ht="15" customHeight="1">
      <c r="A258" s="44" t="s">
        <v>242</v>
      </c>
      <c r="B258" s="148" t="s">
        <v>243</v>
      </c>
      <c r="C258" s="45"/>
      <c r="D258" s="87"/>
      <c r="E258" s="95">
        <v>44089340</v>
      </c>
      <c r="F258" s="95">
        <v>44154340</v>
      </c>
      <c r="G258" s="95">
        <v>44069776</v>
      </c>
      <c r="H258" s="95">
        <v>44069776</v>
      </c>
      <c r="I258" s="95">
        <v>44069776</v>
      </c>
      <c r="J258" s="95">
        <f>G258-I258</f>
        <v>0</v>
      </c>
      <c r="K258" s="99">
        <v>48443180</v>
      </c>
    </row>
    <row r="259" spans="1:11" ht="25.5" customHeight="1">
      <c r="A259" s="56" t="s">
        <v>244</v>
      </c>
      <c r="B259" s="147" t="s">
        <v>245</v>
      </c>
      <c r="C259" s="41"/>
      <c r="D259" s="85">
        <f>D260</f>
        <v>0</v>
      </c>
      <c r="E259" s="85">
        <f>E260</f>
        <v>0</v>
      </c>
      <c r="F259" s="85">
        <f t="shared" ref="F259:K259" si="112">F260</f>
        <v>0</v>
      </c>
      <c r="G259" s="85">
        <f t="shared" si="112"/>
        <v>0</v>
      </c>
      <c r="H259" s="85">
        <f t="shared" si="112"/>
        <v>0</v>
      </c>
      <c r="I259" s="85">
        <f t="shared" si="112"/>
        <v>0</v>
      </c>
      <c r="J259" s="85">
        <f t="shared" si="112"/>
        <v>0</v>
      </c>
      <c r="K259" s="86">
        <f t="shared" si="112"/>
        <v>0</v>
      </c>
    </row>
    <row r="260" spans="1:11" ht="15" customHeight="1">
      <c r="A260" s="44" t="s">
        <v>246</v>
      </c>
      <c r="B260" s="148" t="s">
        <v>247</v>
      </c>
      <c r="C260" s="45"/>
      <c r="D260" s="87"/>
      <c r="E260" s="51"/>
      <c r="F260" s="51"/>
      <c r="G260" s="51"/>
      <c r="H260" s="103">
        <f>G260</f>
        <v>0</v>
      </c>
      <c r="I260" s="51"/>
      <c r="J260" s="95">
        <f>G260-I260</f>
        <v>0</v>
      </c>
      <c r="K260" s="96"/>
    </row>
    <row r="261" spans="1:11" ht="15" customHeight="1" thickBot="1">
      <c r="A261" s="44" t="s">
        <v>248</v>
      </c>
      <c r="B261" s="148" t="s">
        <v>249</v>
      </c>
      <c r="C261" s="45"/>
      <c r="D261" s="87"/>
      <c r="E261" s="95">
        <v>0</v>
      </c>
      <c r="F261" s="51"/>
      <c r="G261" s="51"/>
      <c r="H261" s="103">
        <f>G261</f>
        <v>0</v>
      </c>
      <c r="I261" s="51"/>
      <c r="J261" s="95">
        <f>G261-I261</f>
        <v>0</v>
      </c>
      <c r="K261" s="99">
        <v>2027</v>
      </c>
    </row>
    <row r="262" spans="1:11" ht="30.75" hidden="1" thickBot="1">
      <c r="A262" s="36" t="s">
        <v>293</v>
      </c>
      <c r="B262" s="146" t="s">
        <v>251</v>
      </c>
      <c r="C262" s="37"/>
      <c r="D262" s="83">
        <f>D263+D264+D265+D266+D267</f>
        <v>0</v>
      </c>
      <c r="E262" s="83">
        <f>E263+E264+E265+E266+E267</f>
        <v>0</v>
      </c>
      <c r="F262" s="83">
        <f t="shared" ref="F262:K262" si="113">F263+F264+F265+F266+F267</f>
        <v>0</v>
      </c>
      <c r="G262" s="83">
        <f t="shared" si="113"/>
        <v>0</v>
      </c>
      <c r="H262" s="83">
        <f t="shared" si="113"/>
        <v>0</v>
      </c>
      <c r="I262" s="83">
        <f t="shared" si="113"/>
        <v>0</v>
      </c>
      <c r="J262" s="83">
        <f t="shared" si="113"/>
        <v>0</v>
      </c>
      <c r="K262" s="84">
        <f t="shared" si="113"/>
        <v>0</v>
      </c>
    </row>
    <row r="263" spans="1:11" ht="15" hidden="1" thickBot="1">
      <c r="A263" s="44" t="s">
        <v>252</v>
      </c>
      <c r="B263" s="148" t="s">
        <v>253</v>
      </c>
      <c r="C263" s="45"/>
      <c r="D263" s="87"/>
      <c r="E263" s="51"/>
      <c r="F263" s="104"/>
      <c r="G263" s="51"/>
      <c r="H263" s="87">
        <f>G263</f>
        <v>0</v>
      </c>
      <c r="I263" s="51"/>
      <c r="J263" s="95">
        <f>G263-I263</f>
        <v>0</v>
      </c>
      <c r="K263" s="96"/>
    </row>
    <row r="264" spans="1:11" ht="15" hidden="1" thickBot="1">
      <c r="A264" s="44" t="s">
        <v>254</v>
      </c>
      <c r="B264" s="148" t="s">
        <v>255</v>
      </c>
      <c r="C264" s="45"/>
      <c r="D264" s="87"/>
      <c r="E264" s="51"/>
      <c r="F264" s="104"/>
      <c r="G264" s="51"/>
      <c r="H264" s="87">
        <f>G264</f>
        <v>0</v>
      </c>
      <c r="I264" s="51"/>
      <c r="J264" s="95">
        <f>G264-I264</f>
        <v>0</v>
      </c>
      <c r="K264" s="96"/>
    </row>
    <row r="265" spans="1:11" ht="15" hidden="1" thickBot="1">
      <c r="A265" s="44" t="s">
        <v>256</v>
      </c>
      <c r="B265" s="148" t="s">
        <v>257</v>
      </c>
      <c r="C265" s="45"/>
      <c r="D265" s="87"/>
      <c r="E265" s="51"/>
      <c r="F265" s="104"/>
      <c r="G265" s="51"/>
      <c r="H265" s="87">
        <f>G265</f>
        <v>0</v>
      </c>
      <c r="I265" s="51"/>
      <c r="J265" s="95">
        <f>G265-I265</f>
        <v>0</v>
      </c>
      <c r="K265" s="96"/>
    </row>
    <row r="266" spans="1:11" ht="15" hidden="1" thickBot="1">
      <c r="A266" s="44" t="s">
        <v>294</v>
      </c>
      <c r="B266" s="148" t="s">
        <v>259</v>
      </c>
      <c r="C266" s="45"/>
      <c r="D266" s="87"/>
      <c r="E266" s="51"/>
      <c r="F266" s="51"/>
      <c r="G266" s="51"/>
      <c r="H266" s="87">
        <f>G266</f>
        <v>0</v>
      </c>
      <c r="I266" s="51"/>
      <c r="J266" s="95">
        <f>G266-I266</f>
        <v>0</v>
      </c>
      <c r="K266" s="96"/>
    </row>
    <row r="267" spans="1:11" ht="15" hidden="1" thickBot="1">
      <c r="A267" s="44" t="s">
        <v>260</v>
      </c>
      <c r="B267" s="148" t="s">
        <v>261</v>
      </c>
      <c r="C267" s="45"/>
      <c r="D267" s="87"/>
      <c r="E267" s="95"/>
      <c r="F267" s="114"/>
      <c r="G267" s="95"/>
      <c r="H267" s="87">
        <f>G267</f>
        <v>0</v>
      </c>
      <c r="I267" s="95"/>
      <c r="J267" s="95">
        <f>G267-I267</f>
        <v>0</v>
      </c>
      <c r="K267" s="99"/>
    </row>
    <row r="268" spans="1:11" ht="30.75" hidden="1" thickBot="1">
      <c r="A268" s="32" t="s">
        <v>295</v>
      </c>
      <c r="B268" s="145" t="s">
        <v>263</v>
      </c>
      <c r="C268" s="33"/>
      <c r="D268" s="82"/>
      <c r="E268" s="115"/>
      <c r="F268" s="115"/>
      <c r="G268" s="115"/>
      <c r="H268" s="82"/>
      <c r="I268" s="115"/>
      <c r="J268" s="116"/>
      <c r="K268" s="117"/>
    </row>
    <row r="269" spans="1:11" ht="15.75" hidden="1" thickBot="1">
      <c r="A269" s="70" t="s">
        <v>296</v>
      </c>
      <c r="B269" s="152" t="s">
        <v>265</v>
      </c>
      <c r="C269" s="71"/>
      <c r="D269" s="74"/>
      <c r="E269" s="74"/>
      <c r="F269" s="74"/>
      <c r="G269" s="74"/>
      <c r="H269" s="87"/>
      <c r="I269" s="51"/>
      <c r="J269" s="138"/>
      <c r="K269" s="96"/>
    </row>
    <row r="270" spans="1:11" ht="18" hidden="1" thickBot="1">
      <c r="A270" s="118" t="s">
        <v>326</v>
      </c>
      <c r="B270" s="156" t="s">
        <v>266</v>
      </c>
      <c r="C270" s="119"/>
      <c r="D270" s="120"/>
      <c r="E270" s="120"/>
      <c r="F270" s="120"/>
      <c r="G270" s="120"/>
      <c r="H270" s="121"/>
      <c r="I270" s="122"/>
      <c r="J270" s="142"/>
      <c r="K270" s="123"/>
    </row>
    <row r="271" spans="1:11" ht="60.75" thickBot="1">
      <c r="A271" s="124" t="s">
        <v>297</v>
      </c>
      <c r="B271" s="157" t="s">
        <v>8</v>
      </c>
      <c r="C271" s="125">
        <f>C272+C282+C290+C344+C362+C392</f>
        <v>290842975</v>
      </c>
      <c r="D271" s="125">
        <f t="shared" ref="D271:K271" si="114">D272+D282+D290+D344+D362+D392</f>
        <v>282470887</v>
      </c>
      <c r="E271" s="125">
        <f t="shared" si="114"/>
        <v>292123075</v>
      </c>
      <c r="F271" s="125">
        <f t="shared" si="114"/>
        <v>283691987</v>
      </c>
      <c r="G271" s="125">
        <f t="shared" si="114"/>
        <v>223192486</v>
      </c>
      <c r="H271" s="125">
        <f t="shared" si="114"/>
        <v>223192486</v>
      </c>
      <c r="I271" s="125">
        <f t="shared" si="114"/>
        <v>223192486</v>
      </c>
      <c r="J271" s="125">
        <f t="shared" si="114"/>
        <v>0</v>
      </c>
      <c r="K271" s="126">
        <f t="shared" si="114"/>
        <v>62855963</v>
      </c>
    </row>
    <row r="272" spans="1:11" ht="45">
      <c r="A272" s="79" t="s">
        <v>298</v>
      </c>
      <c r="B272" s="145" t="s">
        <v>10</v>
      </c>
      <c r="C272" s="82">
        <f t="shared" ref="C272:K272" si="115">C273+C276</f>
        <v>170000</v>
      </c>
      <c r="D272" s="82">
        <f t="shared" si="115"/>
        <v>253800</v>
      </c>
      <c r="E272" s="82">
        <f t="shared" si="115"/>
        <v>170000</v>
      </c>
      <c r="F272" s="82">
        <f t="shared" si="115"/>
        <v>253800</v>
      </c>
      <c r="G272" s="82">
        <f t="shared" si="115"/>
        <v>242580</v>
      </c>
      <c r="H272" s="82">
        <f t="shared" si="115"/>
        <v>242580</v>
      </c>
      <c r="I272" s="82">
        <f t="shared" si="115"/>
        <v>242580</v>
      </c>
      <c r="J272" s="82">
        <f t="shared" si="115"/>
        <v>0</v>
      </c>
      <c r="K272" s="98">
        <f t="shared" si="115"/>
        <v>617688</v>
      </c>
    </row>
    <row r="273" spans="1:11" ht="30">
      <c r="A273" s="36" t="s">
        <v>269</v>
      </c>
      <c r="B273" s="146" t="s">
        <v>12</v>
      </c>
      <c r="C273" s="83">
        <f t="shared" ref="C273:K274" si="116">C274</f>
        <v>170000</v>
      </c>
      <c r="D273" s="83">
        <f t="shared" si="116"/>
        <v>253800</v>
      </c>
      <c r="E273" s="83">
        <f t="shared" si="116"/>
        <v>170000</v>
      </c>
      <c r="F273" s="83">
        <f t="shared" si="116"/>
        <v>253800</v>
      </c>
      <c r="G273" s="83">
        <f t="shared" si="116"/>
        <v>242580</v>
      </c>
      <c r="H273" s="83">
        <f t="shared" si="116"/>
        <v>242580</v>
      </c>
      <c r="I273" s="83">
        <f t="shared" si="116"/>
        <v>242580</v>
      </c>
      <c r="J273" s="83">
        <f t="shared" si="116"/>
        <v>0</v>
      </c>
      <c r="K273" s="83">
        <f t="shared" si="116"/>
        <v>568910</v>
      </c>
    </row>
    <row r="274" spans="1:11" ht="28.5">
      <c r="A274" s="56" t="s">
        <v>270</v>
      </c>
      <c r="B274" s="147" t="s">
        <v>14</v>
      </c>
      <c r="C274" s="85">
        <f t="shared" si="116"/>
        <v>170000</v>
      </c>
      <c r="D274" s="85">
        <f t="shared" si="116"/>
        <v>253800</v>
      </c>
      <c r="E274" s="85">
        <f t="shared" si="116"/>
        <v>170000</v>
      </c>
      <c r="F274" s="85">
        <f t="shared" si="116"/>
        <v>253800</v>
      </c>
      <c r="G274" s="85">
        <f t="shared" si="116"/>
        <v>242580</v>
      </c>
      <c r="H274" s="85">
        <f t="shared" si="116"/>
        <v>242580</v>
      </c>
      <c r="I274" s="85">
        <f t="shared" si="116"/>
        <v>242580</v>
      </c>
      <c r="J274" s="85">
        <f t="shared" si="116"/>
        <v>0</v>
      </c>
      <c r="K274" s="85">
        <f t="shared" si="116"/>
        <v>568910</v>
      </c>
    </row>
    <row r="275" spans="1:11" ht="32.25" customHeight="1">
      <c r="A275" s="44" t="s">
        <v>15</v>
      </c>
      <c r="B275" s="148" t="s">
        <v>16</v>
      </c>
      <c r="C275" s="173">
        <f>E275</f>
        <v>170000</v>
      </c>
      <c r="D275" s="103">
        <f>F275</f>
        <v>253800</v>
      </c>
      <c r="E275" s="172">
        <v>170000</v>
      </c>
      <c r="F275" s="95">
        <v>253800</v>
      </c>
      <c r="G275" s="95">
        <v>242580</v>
      </c>
      <c r="H275" s="95">
        <f>G275</f>
        <v>242580</v>
      </c>
      <c r="I275" s="95">
        <v>242580</v>
      </c>
      <c r="J275" s="138">
        <f>H275-I275</f>
        <v>0</v>
      </c>
      <c r="K275" s="99">
        <f>512522+56388</f>
        <v>568910</v>
      </c>
    </row>
    <row r="276" spans="1:11" ht="45">
      <c r="A276" s="36" t="s">
        <v>17</v>
      </c>
      <c r="B276" s="146" t="s">
        <v>18</v>
      </c>
      <c r="C276" s="128">
        <f>D276</f>
        <v>0</v>
      </c>
      <c r="D276" s="83">
        <f t="shared" ref="D276:K276" si="117">D277+D278+D279+D280+D281</f>
        <v>0</v>
      </c>
      <c r="E276" s="83">
        <f t="shared" si="117"/>
        <v>0</v>
      </c>
      <c r="F276" s="83">
        <f t="shared" si="117"/>
        <v>0</v>
      </c>
      <c r="G276" s="83">
        <f t="shared" si="117"/>
        <v>0</v>
      </c>
      <c r="H276" s="83">
        <f t="shared" si="117"/>
        <v>0</v>
      </c>
      <c r="I276" s="83">
        <f t="shared" si="117"/>
        <v>0</v>
      </c>
      <c r="J276" s="83">
        <f t="shared" si="117"/>
        <v>0</v>
      </c>
      <c r="K276" s="84">
        <f t="shared" si="117"/>
        <v>48778</v>
      </c>
    </row>
    <row r="277" spans="1:11" ht="28.5" hidden="1">
      <c r="A277" s="44" t="s">
        <v>273</v>
      </c>
      <c r="B277" s="148" t="s">
        <v>20</v>
      </c>
      <c r="C277" s="45"/>
      <c r="D277" s="103"/>
      <c r="E277" s="95"/>
      <c r="F277" s="95"/>
      <c r="G277" s="95"/>
      <c r="H277" s="95"/>
      <c r="I277" s="95"/>
      <c r="J277" s="95">
        <f>G277-I277</f>
        <v>0</v>
      </c>
      <c r="K277" s="99"/>
    </row>
    <row r="278" spans="1:11" ht="28.5" hidden="1">
      <c r="A278" s="44" t="s">
        <v>21</v>
      </c>
      <c r="B278" s="148" t="s">
        <v>22</v>
      </c>
      <c r="C278" s="45"/>
      <c r="D278" s="103"/>
      <c r="E278" s="95"/>
      <c r="F278" s="95"/>
      <c r="G278" s="95"/>
      <c r="H278" s="95"/>
      <c r="I278" s="95"/>
      <c r="J278" s="95">
        <f>G278-I278</f>
        <v>0</v>
      </c>
      <c r="K278" s="99"/>
    </row>
    <row r="279" spans="1:11" ht="42.75" hidden="1">
      <c r="A279" s="44" t="s">
        <v>23</v>
      </c>
      <c r="B279" s="148" t="s">
        <v>24</v>
      </c>
      <c r="C279" s="127">
        <f>D279</f>
        <v>0</v>
      </c>
      <c r="D279" s="103"/>
      <c r="E279" s="95"/>
      <c r="F279" s="95"/>
      <c r="G279" s="95"/>
      <c r="H279" s="95"/>
      <c r="I279" s="95"/>
      <c r="J279" s="95">
        <f>G279-I279</f>
        <v>0</v>
      </c>
      <c r="K279" s="99"/>
    </row>
    <row r="280" spans="1:11" ht="28.5">
      <c r="A280" s="44" t="s">
        <v>25</v>
      </c>
      <c r="B280" s="148" t="s">
        <v>26</v>
      </c>
      <c r="C280" s="127">
        <f>E280</f>
        <v>0</v>
      </c>
      <c r="D280" s="103">
        <f>F280</f>
        <v>0</v>
      </c>
      <c r="E280" s="95"/>
      <c r="F280" s="95"/>
      <c r="G280" s="95"/>
      <c r="H280" s="95"/>
      <c r="I280" s="95"/>
      <c r="J280" s="138">
        <v>0</v>
      </c>
      <c r="K280" s="99">
        <v>48778</v>
      </c>
    </row>
    <row r="281" spans="1:11" ht="14.25" hidden="1">
      <c r="A281" s="44" t="s">
        <v>27</v>
      </c>
      <c r="B281" s="148" t="s">
        <v>28</v>
      </c>
      <c r="C281" s="127">
        <f>D281</f>
        <v>0</v>
      </c>
      <c r="D281" s="103"/>
      <c r="E281" s="95"/>
      <c r="F281" s="95"/>
      <c r="G281" s="95"/>
      <c r="H281" s="95"/>
      <c r="I281" s="95"/>
      <c r="J281" s="95">
        <f>G281-I281</f>
        <v>0</v>
      </c>
      <c r="K281" s="99"/>
    </row>
    <row r="282" spans="1:11" ht="45">
      <c r="A282" s="32" t="s">
        <v>40</v>
      </c>
      <c r="B282" s="145" t="s">
        <v>41</v>
      </c>
      <c r="C282" s="33"/>
      <c r="D282" s="82">
        <f>D283+D285</f>
        <v>0</v>
      </c>
      <c r="E282" s="82">
        <f>E283+E285</f>
        <v>262100</v>
      </c>
      <c r="F282" s="82">
        <f t="shared" ref="F282:K282" si="118">F283+F285</f>
        <v>148100</v>
      </c>
      <c r="G282" s="82">
        <f t="shared" si="118"/>
        <v>147926</v>
      </c>
      <c r="H282" s="82">
        <f t="shared" si="118"/>
        <v>147926</v>
      </c>
      <c r="I282" s="82">
        <f t="shared" si="118"/>
        <v>147926</v>
      </c>
      <c r="J282" s="82">
        <f>J283+J285</f>
        <v>0</v>
      </c>
      <c r="K282" s="98">
        <f t="shared" si="118"/>
        <v>255817</v>
      </c>
    </row>
    <row r="283" spans="1:11" ht="15" hidden="1">
      <c r="A283" s="36" t="s">
        <v>42</v>
      </c>
      <c r="B283" s="146" t="s">
        <v>43</v>
      </c>
      <c r="C283" s="37"/>
      <c r="D283" s="83">
        <f>D284</f>
        <v>0</v>
      </c>
      <c r="E283" s="83">
        <f>E284</f>
        <v>0</v>
      </c>
      <c r="F283" s="83">
        <f t="shared" ref="F283:K283" si="119">F284</f>
        <v>0</v>
      </c>
      <c r="G283" s="83">
        <f t="shared" si="119"/>
        <v>0</v>
      </c>
      <c r="H283" s="83">
        <f t="shared" si="119"/>
        <v>0</v>
      </c>
      <c r="I283" s="83">
        <f t="shared" si="119"/>
        <v>0</v>
      </c>
      <c r="J283" s="83">
        <f t="shared" si="119"/>
        <v>0</v>
      </c>
      <c r="K283" s="84">
        <f t="shared" si="119"/>
        <v>0</v>
      </c>
    </row>
    <row r="284" spans="1:11" ht="14.25" hidden="1">
      <c r="A284" s="44" t="s">
        <v>274</v>
      </c>
      <c r="B284" s="148" t="s">
        <v>45</v>
      </c>
      <c r="C284" s="45"/>
      <c r="D284" s="103"/>
      <c r="E284" s="95"/>
      <c r="F284" s="95"/>
      <c r="G284" s="95"/>
      <c r="H284" s="95"/>
      <c r="I284" s="95"/>
      <c r="J284" s="95">
        <f>G284-I284</f>
        <v>0</v>
      </c>
      <c r="K284" s="99"/>
    </row>
    <row r="285" spans="1:11" ht="30">
      <c r="A285" s="36" t="s">
        <v>299</v>
      </c>
      <c r="B285" s="146" t="s">
        <v>47</v>
      </c>
      <c r="C285" s="83">
        <f>C286</f>
        <v>0</v>
      </c>
      <c r="D285" s="83">
        <f>D286</f>
        <v>0</v>
      </c>
      <c r="E285" s="83">
        <f>E286</f>
        <v>262100</v>
      </c>
      <c r="F285" s="83">
        <f t="shared" ref="F285:K285" si="120">F286</f>
        <v>148100</v>
      </c>
      <c r="G285" s="83">
        <f t="shared" si="120"/>
        <v>147926</v>
      </c>
      <c r="H285" s="83">
        <f t="shared" si="120"/>
        <v>147926</v>
      </c>
      <c r="I285" s="83">
        <f t="shared" si="120"/>
        <v>147926</v>
      </c>
      <c r="J285" s="83">
        <f t="shared" si="120"/>
        <v>0</v>
      </c>
      <c r="K285" s="83">
        <f t="shared" si="120"/>
        <v>255817</v>
      </c>
    </row>
    <row r="286" spans="1:11" ht="14.25">
      <c r="A286" s="56" t="s">
        <v>48</v>
      </c>
      <c r="B286" s="147" t="s">
        <v>49</v>
      </c>
      <c r="C286" s="85">
        <f>C287+C288+C289</f>
        <v>0</v>
      </c>
      <c r="D286" s="85">
        <f>D287+D288+D289</f>
        <v>0</v>
      </c>
      <c r="E286" s="85">
        <f>E287+E288+E289</f>
        <v>262100</v>
      </c>
      <c r="F286" s="85">
        <f t="shared" ref="F286:K286" si="121">F287+F288+F289</f>
        <v>148100</v>
      </c>
      <c r="G286" s="85">
        <f t="shared" si="121"/>
        <v>147926</v>
      </c>
      <c r="H286" s="85">
        <f t="shared" si="121"/>
        <v>147926</v>
      </c>
      <c r="I286" s="85">
        <f t="shared" si="121"/>
        <v>147926</v>
      </c>
      <c r="J286" s="85">
        <f t="shared" si="121"/>
        <v>0</v>
      </c>
      <c r="K286" s="85">
        <f t="shared" si="121"/>
        <v>255817</v>
      </c>
    </row>
    <row r="287" spans="1:11" ht="27" customHeight="1">
      <c r="A287" s="44" t="s">
        <v>50</v>
      </c>
      <c r="B287" s="148" t="s">
        <v>51</v>
      </c>
      <c r="C287" s="174"/>
      <c r="D287" s="174"/>
      <c r="E287" s="107">
        <v>262100</v>
      </c>
      <c r="F287" s="107">
        <v>148100</v>
      </c>
      <c r="G287" s="107">
        <v>147926</v>
      </c>
      <c r="H287" s="107">
        <v>147926</v>
      </c>
      <c r="I287" s="107">
        <v>147926</v>
      </c>
      <c r="J287" s="53">
        <f>G287-I287</f>
        <v>0</v>
      </c>
      <c r="K287" s="108">
        <v>147926</v>
      </c>
    </row>
    <row r="288" spans="1:11" ht="28.5">
      <c r="A288" s="44" t="s">
        <v>52</v>
      </c>
      <c r="B288" s="148" t="s">
        <v>53</v>
      </c>
      <c r="C288" s="175">
        <f>E288</f>
        <v>0</v>
      </c>
      <c r="D288" s="174">
        <f>F288</f>
        <v>0</v>
      </c>
      <c r="E288" s="107"/>
      <c r="F288" s="107"/>
      <c r="G288" s="107"/>
      <c r="H288" s="107">
        <f>G288</f>
        <v>0</v>
      </c>
      <c r="I288" s="107">
        <f>G288</f>
        <v>0</v>
      </c>
      <c r="J288" s="53">
        <f>G288-I288</f>
        <v>0</v>
      </c>
      <c r="K288" s="108">
        <v>59579</v>
      </c>
    </row>
    <row r="289" spans="1:11" ht="28.5">
      <c r="A289" s="44" t="s">
        <v>54</v>
      </c>
      <c r="B289" s="148" t="s">
        <v>55</v>
      </c>
      <c r="C289" s="175">
        <f>E289</f>
        <v>0</v>
      </c>
      <c r="D289" s="107">
        <f>F289</f>
        <v>0</v>
      </c>
      <c r="E289" s="107"/>
      <c r="F289" s="107"/>
      <c r="G289" s="107"/>
      <c r="H289" s="107">
        <f>G289</f>
        <v>0</v>
      </c>
      <c r="I289" s="107"/>
      <c r="J289" s="107">
        <f>G289-I289</f>
        <v>0</v>
      </c>
      <c r="K289" s="107">
        <f>25073+21225+2014</f>
        <v>48312</v>
      </c>
    </row>
    <row r="290" spans="1:11" ht="45">
      <c r="A290" s="32" t="s">
        <v>300</v>
      </c>
      <c r="B290" s="145" t="s">
        <v>57</v>
      </c>
      <c r="C290" s="82">
        <f>C291+C307+C314+C332</f>
        <v>116045965</v>
      </c>
      <c r="D290" s="82">
        <f>D291+D307+D314+D332</f>
        <v>100301097</v>
      </c>
      <c r="E290" s="82">
        <f>E291+E307+E314+E332</f>
        <v>117063965</v>
      </c>
      <c r="F290" s="82">
        <f t="shared" ref="F290:K290" si="122">F291+F307+F314+F332</f>
        <v>101374097</v>
      </c>
      <c r="G290" s="82">
        <f t="shared" si="122"/>
        <v>69992538</v>
      </c>
      <c r="H290" s="82">
        <f t="shared" si="122"/>
        <v>69992538</v>
      </c>
      <c r="I290" s="82">
        <f t="shared" si="122"/>
        <v>69992538</v>
      </c>
      <c r="J290" s="82">
        <f>J291+J307+J314+J332</f>
        <v>0</v>
      </c>
      <c r="K290" s="98">
        <f t="shared" si="122"/>
        <v>20833083</v>
      </c>
    </row>
    <row r="291" spans="1:11" ht="45">
      <c r="A291" s="36" t="s">
        <v>301</v>
      </c>
      <c r="B291" s="146" t="s">
        <v>59</v>
      </c>
      <c r="C291" s="90">
        <f>C292+C295+C299+C300+C302+C306+C305</f>
        <v>79434911</v>
      </c>
      <c r="D291" s="90">
        <f>D292+D295+D299+D300+D302+D306+D305</f>
        <v>65217207</v>
      </c>
      <c r="E291" s="90">
        <f>E292+E295+E299+E300+E302+E306+E305</f>
        <v>79434911</v>
      </c>
      <c r="F291" s="90">
        <f t="shared" ref="F291:K291" si="123">F292+F295+F299+F300+F302+F306+F305</f>
        <v>65217207</v>
      </c>
      <c r="G291" s="90">
        <f t="shared" si="123"/>
        <v>45421795</v>
      </c>
      <c r="H291" s="90">
        <f t="shared" si="123"/>
        <v>45421795</v>
      </c>
      <c r="I291" s="90">
        <f t="shared" si="123"/>
        <v>45421795</v>
      </c>
      <c r="J291" s="90">
        <f t="shared" si="123"/>
        <v>0</v>
      </c>
      <c r="K291" s="90">
        <f t="shared" si="123"/>
        <v>11786518</v>
      </c>
    </row>
    <row r="292" spans="1:11" ht="28.5">
      <c r="A292" s="56" t="s">
        <v>276</v>
      </c>
      <c r="B292" s="147" t="s">
        <v>61</v>
      </c>
      <c r="C292" s="100">
        <f t="shared" ref="C292:K292" si="124">C293+C294</f>
        <v>2862500</v>
      </c>
      <c r="D292" s="100">
        <f t="shared" si="124"/>
        <v>363200</v>
      </c>
      <c r="E292" s="100">
        <f>E293+E294</f>
        <v>2862500</v>
      </c>
      <c r="F292" s="100">
        <f>F293+F294</f>
        <v>363200</v>
      </c>
      <c r="G292" s="100">
        <f t="shared" si="124"/>
        <v>338450</v>
      </c>
      <c r="H292" s="100">
        <f t="shared" si="124"/>
        <v>338450</v>
      </c>
      <c r="I292" s="100">
        <f t="shared" si="124"/>
        <v>338450</v>
      </c>
      <c r="J292" s="100">
        <f>J293+J294</f>
        <v>0</v>
      </c>
      <c r="K292" s="101">
        <f t="shared" si="124"/>
        <v>287035</v>
      </c>
    </row>
    <row r="293" spans="1:11" ht="14.25">
      <c r="A293" s="44" t="s">
        <v>62</v>
      </c>
      <c r="B293" s="148" t="s">
        <v>63</v>
      </c>
      <c r="C293" s="173">
        <f>E293</f>
        <v>2862500</v>
      </c>
      <c r="D293" s="103">
        <f>F293</f>
        <v>363200</v>
      </c>
      <c r="E293" s="95">
        <f>'[2]13+verif'!E290</f>
        <v>2862500</v>
      </c>
      <c r="F293" s="95">
        <f>'[1]13+verif'!F290</f>
        <v>363200</v>
      </c>
      <c r="G293" s="95">
        <f>'[1]13+verif'!G290</f>
        <v>338450</v>
      </c>
      <c r="H293" s="95">
        <f>'[1]13+verif'!H290</f>
        <v>338450</v>
      </c>
      <c r="I293" s="95">
        <f>'[1]13+verif'!I290</f>
        <v>338450</v>
      </c>
      <c r="J293" s="95">
        <f>'[1]13+verif'!J290</f>
        <v>0</v>
      </c>
      <c r="K293" s="95">
        <f>'[1]13+verif'!K290</f>
        <v>287035</v>
      </c>
    </row>
    <row r="294" spans="1:11" ht="14.25">
      <c r="A294" s="44" t="s">
        <v>64</v>
      </c>
      <c r="B294" s="148" t="s">
        <v>65</v>
      </c>
      <c r="C294" s="173">
        <f>D294</f>
        <v>0</v>
      </c>
      <c r="D294" s="103"/>
      <c r="E294" s="103"/>
      <c r="F294" s="95">
        <f>'[1]13+verif'!F291</f>
        <v>0</v>
      </c>
      <c r="G294" s="95">
        <f>'[1]13+verif'!G291</f>
        <v>0</v>
      </c>
      <c r="H294" s="95">
        <f>'[1]13+verif'!H291</f>
        <v>0</v>
      </c>
      <c r="I294" s="95">
        <f>'[1]13+verif'!I291</f>
        <v>0</v>
      </c>
      <c r="J294" s="95">
        <f>'[1]13+verif'!J291</f>
        <v>0</v>
      </c>
      <c r="K294" s="95">
        <f>'[1]13+verif'!K291</f>
        <v>0</v>
      </c>
    </row>
    <row r="295" spans="1:11" ht="28.5">
      <c r="A295" s="56" t="s">
        <v>277</v>
      </c>
      <c r="B295" s="147" t="s">
        <v>67</v>
      </c>
      <c r="C295" s="100">
        <f>C296+C297+C298</f>
        <v>20945051</v>
      </c>
      <c r="D295" s="100">
        <f>D296+D297+D298</f>
        <v>24851962</v>
      </c>
      <c r="E295" s="100">
        <f>E296+E297+E298</f>
        <v>20945051</v>
      </c>
      <c r="F295" s="100">
        <f t="shared" ref="F295:K295" si="125">F296+F297+F298</f>
        <v>24851962</v>
      </c>
      <c r="G295" s="100">
        <f t="shared" si="125"/>
        <v>8238595</v>
      </c>
      <c r="H295" s="100">
        <f t="shared" si="125"/>
        <v>8238595</v>
      </c>
      <c r="I295" s="100">
        <f t="shared" si="125"/>
        <v>8238595</v>
      </c>
      <c r="J295" s="100">
        <f t="shared" si="125"/>
        <v>0</v>
      </c>
      <c r="K295" s="101">
        <f t="shared" si="125"/>
        <v>10951531</v>
      </c>
    </row>
    <row r="296" spans="1:11" ht="14.25">
      <c r="A296" s="44" t="s">
        <v>68</v>
      </c>
      <c r="B296" s="148" t="s">
        <v>69</v>
      </c>
      <c r="C296" s="175">
        <f>E296</f>
        <v>12114440</v>
      </c>
      <c r="D296" s="174">
        <f>F296</f>
        <v>16217862</v>
      </c>
      <c r="E296" s="107">
        <f>'[2]13+verif'!E293</f>
        <v>12114440</v>
      </c>
      <c r="F296" s="107">
        <f>'[1]13+verif'!F293</f>
        <v>16217862</v>
      </c>
      <c r="G296" s="107">
        <f>'[1]13+verif'!G293</f>
        <v>6572792</v>
      </c>
      <c r="H296" s="107">
        <f>'[1]13+verif'!H293</f>
        <v>6572792</v>
      </c>
      <c r="I296" s="107">
        <f>'[1]13+verif'!I293</f>
        <v>6572792</v>
      </c>
      <c r="J296" s="107">
        <f>'[1]13+verif'!J293</f>
        <v>0</v>
      </c>
      <c r="K296" s="107">
        <f>'[1]13+verif'!K293</f>
        <v>9306686</v>
      </c>
    </row>
    <row r="297" spans="1:11" ht="14.25">
      <c r="A297" s="44" t="s">
        <v>70</v>
      </c>
      <c r="B297" s="148" t="s">
        <v>71</v>
      </c>
      <c r="C297" s="175">
        <f>E297</f>
        <v>8830611</v>
      </c>
      <c r="D297" s="174">
        <f>F297</f>
        <v>8634100</v>
      </c>
      <c r="E297" s="107">
        <f>'[2]13+verif'!E294</f>
        <v>8830611</v>
      </c>
      <c r="F297" s="107">
        <f>'[1]13+verif'!F294</f>
        <v>8634100</v>
      </c>
      <c r="G297" s="107">
        <f>'[1]13+verif'!G294</f>
        <v>1665803</v>
      </c>
      <c r="H297" s="107">
        <f>'[1]13+verif'!H294</f>
        <v>1665803</v>
      </c>
      <c r="I297" s="107">
        <f>'[1]13+verif'!I294</f>
        <v>1665803</v>
      </c>
      <c r="J297" s="107">
        <f>'[1]13+verif'!J294</f>
        <v>0</v>
      </c>
      <c r="K297" s="107">
        <f>'[1]13+verif'!K294</f>
        <v>1644845</v>
      </c>
    </row>
    <row r="298" spans="1:11" ht="14.25">
      <c r="A298" s="44" t="s">
        <v>72</v>
      </c>
      <c r="B298" s="148" t="s">
        <v>73</v>
      </c>
      <c r="C298" s="175">
        <f>E298</f>
        <v>0</v>
      </c>
      <c r="D298" s="174"/>
      <c r="E298" s="107">
        <f>'[2]13+verif'!E295</f>
        <v>0</v>
      </c>
      <c r="F298" s="107">
        <f>'[1]13+verif'!F295</f>
        <v>0</v>
      </c>
      <c r="G298" s="107">
        <f>'[1]13+verif'!G295</f>
        <v>0</v>
      </c>
      <c r="H298" s="107">
        <f>'[1]13+verif'!H295</f>
        <v>0</v>
      </c>
      <c r="I298" s="107">
        <f>'[1]13+verif'!I295</f>
        <v>0</v>
      </c>
      <c r="J298" s="107">
        <f>'[1]13+verif'!J295</f>
        <v>0</v>
      </c>
      <c r="K298" s="107">
        <f>'[1]13+verif'!K295</f>
        <v>0</v>
      </c>
    </row>
    <row r="299" spans="1:11" ht="14.25">
      <c r="A299" s="44" t="s">
        <v>74</v>
      </c>
      <c r="B299" s="148" t="s">
        <v>75</v>
      </c>
      <c r="C299" s="175">
        <f>E299</f>
        <v>0</v>
      </c>
      <c r="D299" s="174"/>
      <c r="E299" s="107">
        <f>'[2]13+verif'!E296</f>
        <v>0</v>
      </c>
      <c r="F299" s="107">
        <f>'[1]13+verif'!F296</f>
        <v>0</v>
      </c>
      <c r="G299" s="107">
        <f>'[1]13+verif'!G296</f>
        <v>0</v>
      </c>
      <c r="H299" s="107">
        <f>'[1]13+verif'!H296</f>
        <v>0</v>
      </c>
      <c r="I299" s="107">
        <f>'[1]13+verif'!I296</f>
        <v>0</v>
      </c>
      <c r="J299" s="107">
        <f>'[1]13+verif'!J296</f>
        <v>0</v>
      </c>
      <c r="K299" s="107">
        <f>'[1]13+verif'!K296</f>
        <v>0</v>
      </c>
    </row>
    <row r="300" spans="1:11" ht="28.5">
      <c r="A300" s="56" t="s">
        <v>279</v>
      </c>
      <c r="B300" s="147" t="s">
        <v>77</v>
      </c>
      <c r="C300" s="176">
        <f>D300</f>
        <v>0</v>
      </c>
      <c r="D300" s="100">
        <f>D301</f>
        <v>0</v>
      </c>
      <c r="E300" s="100">
        <f>E301</f>
        <v>0</v>
      </c>
      <c r="F300" s="100">
        <f t="shared" ref="F300:K300" si="126">F301</f>
        <v>0</v>
      </c>
      <c r="G300" s="100">
        <f t="shared" si="126"/>
        <v>0</v>
      </c>
      <c r="H300" s="100">
        <f t="shared" si="126"/>
        <v>0</v>
      </c>
      <c r="I300" s="100">
        <f t="shared" si="126"/>
        <v>0</v>
      </c>
      <c r="J300" s="100">
        <f t="shared" si="126"/>
        <v>0</v>
      </c>
      <c r="K300" s="101">
        <f t="shared" si="126"/>
        <v>0</v>
      </c>
    </row>
    <row r="301" spans="1:11" ht="14.25">
      <c r="A301" s="44" t="s">
        <v>302</v>
      </c>
      <c r="B301" s="148" t="s">
        <v>79</v>
      </c>
      <c r="C301" s="175">
        <f>D301</f>
        <v>0</v>
      </c>
      <c r="D301" s="174"/>
      <c r="E301" s="174"/>
      <c r="F301" s="107"/>
      <c r="G301" s="174"/>
      <c r="H301" s="171"/>
      <c r="I301" s="107"/>
      <c r="J301" s="107">
        <f>G301-I301</f>
        <v>0</v>
      </c>
      <c r="K301" s="108"/>
    </row>
    <row r="302" spans="1:11" ht="28.5">
      <c r="A302" s="56" t="s">
        <v>280</v>
      </c>
      <c r="B302" s="147" t="s">
        <v>81</v>
      </c>
      <c r="C302" s="176">
        <f>D302</f>
        <v>0</v>
      </c>
      <c r="D302" s="100">
        <f>D303+D304</f>
        <v>0</v>
      </c>
      <c r="E302" s="100">
        <f>E303+E304</f>
        <v>0</v>
      </c>
      <c r="F302" s="100">
        <f t="shared" ref="F302:K302" si="127">F303+F304</f>
        <v>0</v>
      </c>
      <c r="G302" s="100">
        <f t="shared" si="127"/>
        <v>0</v>
      </c>
      <c r="H302" s="100">
        <f t="shared" si="127"/>
        <v>0</v>
      </c>
      <c r="I302" s="100">
        <f t="shared" si="127"/>
        <v>0</v>
      </c>
      <c r="J302" s="100">
        <f t="shared" si="127"/>
        <v>0</v>
      </c>
      <c r="K302" s="101">
        <f t="shared" si="127"/>
        <v>0</v>
      </c>
    </row>
    <row r="303" spans="1:11" ht="14.25">
      <c r="A303" s="44" t="s">
        <v>82</v>
      </c>
      <c r="B303" s="148" t="s">
        <v>83</v>
      </c>
      <c r="C303" s="175">
        <f>D303</f>
        <v>0</v>
      </c>
      <c r="D303" s="174"/>
      <c r="E303" s="174"/>
      <c r="F303" s="174">
        <f>'[1]13+verif'!F300</f>
        <v>0</v>
      </c>
      <c r="G303" s="174">
        <f>'[1]13+verif'!G300</f>
        <v>0</v>
      </c>
      <c r="H303" s="174">
        <f>'[1]13+verif'!H300</f>
        <v>0</v>
      </c>
      <c r="I303" s="174">
        <f>'[1]13+verif'!I300</f>
        <v>0</v>
      </c>
      <c r="J303" s="174">
        <f>'[1]13+verif'!J300</f>
        <v>0</v>
      </c>
      <c r="K303" s="174">
        <f>'[1]13+verif'!K300</f>
        <v>0</v>
      </c>
    </row>
    <row r="304" spans="1:11" ht="14.25">
      <c r="A304" s="44" t="s">
        <v>84</v>
      </c>
      <c r="B304" s="148" t="s">
        <v>85</v>
      </c>
      <c r="C304" s="175">
        <f>D304</f>
        <v>0</v>
      </c>
      <c r="D304" s="174"/>
      <c r="E304" s="174">
        <f>'[2]13+verif'!E301</f>
        <v>0</v>
      </c>
      <c r="F304" s="174">
        <f>'[1]13+verif'!F301</f>
        <v>0</v>
      </c>
      <c r="G304" s="174">
        <f>'[1]13+verif'!G301</f>
        <v>0</v>
      </c>
      <c r="H304" s="174">
        <f>'[1]13+verif'!H301</f>
        <v>0</v>
      </c>
      <c r="I304" s="174">
        <f>'[1]13+verif'!I301</f>
        <v>0</v>
      </c>
      <c r="J304" s="174">
        <f>'[1]13+verif'!J301</f>
        <v>0</v>
      </c>
      <c r="K304" s="174">
        <f>'[1]13+verif'!K301</f>
        <v>0</v>
      </c>
    </row>
    <row r="305" spans="1:11" ht="21.75" customHeight="1">
      <c r="A305" s="58" t="s">
        <v>86</v>
      </c>
      <c r="B305" s="12" t="s">
        <v>87</v>
      </c>
      <c r="C305" s="175">
        <f>E305</f>
        <v>0</v>
      </c>
      <c r="D305" s="175">
        <f>F305</f>
        <v>835000</v>
      </c>
      <c r="E305" s="174">
        <f>'[2]13+verif'!E302</f>
        <v>0</v>
      </c>
      <c r="F305" s="174">
        <f>'[1]13+verif'!F302</f>
        <v>835000</v>
      </c>
      <c r="G305" s="174">
        <f>'[1]13+verif'!G302</f>
        <v>802701</v>
      </c>
      <c r="H305" s="174">
        <f>'[1]13+verif'!H302</f>
        <v>802701</v>
      </c>
      <c r="I305" s="174">
        <f>'[1]13+verif'!I302</f>
        <v>802701</v>
      </c>
      <c r="J305" s="174">
        <f>'[1]13+verif'!J302</f>
        <v>0</v>
      </c>
      <c r="K305" s="174">
        <f>'[1]13+verif'!K302</f>
        <v>19013</v>
      </c>
    </row>
    <row r="306" spans="1:11" ht="24" customHeight="1">
      <c r="A306" s="44" t="s">
        <v>88</v>
      </c>
      <c r="B306" s="148" t="s">
        <v>89</v>
      </c>
      <c r="C306" s="175">
        <f>E306</f>
        <v>55627360</v>
      </c>
      <c r="D306" s="175">
        <f>F306</f>
        <v>39167045</v>
      </c>
      <c r="E306" s="174">
        <f>'[2]13+verif'!E303</f>
        <v>55627360</v>
      </c>
      <c r="F306" s="174">
        <f>'[1]13+verif'!F303</f>
        <v>39167045</v>
      </c>
      <c r="G306" s="174">
        <f>'[1]13+verif'!G303</f>
        <v>36042049</v>
      </c>
      <c r="H306" s="174">
        <f>'[1]13+verif'!H303</f>
        <v>36042049</v>
      </c>
      <c r="I306" s="174">
        <f>'[1]13+verif'!I303</f>
        <v>36042049</v>
      </c>
      <c r="J306" s="174">
        <f>'[1]13+verif'!J303</f>
        <v>0</v>
      </c>
      <c r="K306" s="174">
        <f>'[1]13+verif'!K303</f>
        <v>528939</v>
      </c>
    </row>
    <row r="307" spans="1:11" ht="30">
      <c r="A307" s="36" t="s">
        <v>303</v>
      </c>
      <c r="B307" s="146" t="s">
        <v>91</v>
      </c>
      <c r="C307" s="83">
        <f t="shared" ref="C307:K307" si="128">C308+C311+C312</f>
        <v>0</v>
      </c>
      <c r="D307" s="83">
        <f t="shared" si="128"/>
        <v>80500</v>
      </c>
      <c r="E307" s="83">
        <f t="shared" si="128"/>
        <v>1000000</v>
      </c>
      <c r="F307" s="83">
        <f t="shared" si="128"/>
        <v>1080500</v>
      </c>
      <c r="G307" s="83">
        <f t="shared" si="128"/>
        <v>1080310</v>
      </c>
      <c r="H307" s="83">
        <f t="shared" si="128"/>
        <v>1080310</v>
      </c>
      <c r="I307" s="83">
        <f t="shared" si="128"/>
        <v>1080310</v>
      </c>
      <c r="J307" s="83">
        <f>J308+J311+J312</f>
        <v>0</v>
      </c>
      <c r="K307" s="84">
        <f t="shared" si="128"/>
        <v>1012101</v>
      </c>
    </row>
    <row r="308" spans="1:11" ht="28.5">
      <c r="A308" s="56" t="s">
        <v>92</v>
      </c>
      <c r="B308" s="147" t="s">
        <v>93</v>
      </c>
      <c r="C308" s="85">
        <f t="shared" ref="C308:K308" si="129">C309+C310</f>
        <v>0</v>
      </c>
      <c r="D308" s="85">
        <f t="shared" si="129"/>
        <v>0</v>
      </c>
      <c r="E308" s="85">
        <f t="shared" si="129"/>
        <v>1000000</v>
      </c>
      <c r="F308" s="85">
        <f t="shared" si="129"/>
        <v>1000000</v>
      </c>
      <c r="G308" s="85">
        <f t="shared" si="129"/>
        <v>1000000</v>
      </c>
      <c r="H308" s="85">
        <f t="shared" si="129"/>
        <v>1000000</v>
      </c>
      <c r="I308" s="85">
        <f t="shared" si="129"/>
        <v>1000000</v>
      </c>
      <c r="J308" s="85">
        <f>J309+J310</f>
        <v>0</v>
      </c>
      <c r="K308" s="86">
        <f t="shared" si="129"/>
        <v>1000000</v>
      </c>
    </row>
    <row r="309" spans="1:11" ht="14.25">
      <c r="A309" s="44" t="s">
        <v>94</v>
      </c>
      <c r="B309" s="148" t="s">
        <v>95</v>
      </c>
      <c r="C309" s="173">
        <f>D309</f>
        <v>0</v>
      </c>
      <c r="D309" s="103"/>
      <c r="E309" s="95">
        <v>1000000</v>
      </c>
      <c r="F309" s="114">
        <v>1000000</v>
      </c>
      <c r="G309" s="95">
        <v>1000000</v>
      </c>
      <c r="H309" s="105">
        <v>1000000</v>
      </c>
      <c r="I309" s="105">
        <v>1000000</v>
      </c>
      <c r="J309" s="105">
        <f>G309-I309</f>
        <v>0</v>
      </c>
      <c r="K309" s="99">
        <v>1000000</v>
      </c>
    </row>
    <row r="310" spans="1:11" ht="14.25">
      <c r="A310" s="44" t="s">
        <v>96</v>
      </c>
      <c r="B310" s="149" t="s">
        <v>97</v>
      </c>
      <c r="C310" s="173">
        <f>D310</f>
        <v>0</v>
      </c>
      <c r="D310" s="103"/>
      <c r="E310" s="95"/>
      <c r="F310" s="95"/>
      <c r="G310" s="95"/>
      <c r="H310" s="105">
        <f>G310</f>
        <v>0</v>
      </c>
      <c r="I310" s="105"/>
      <c r="J310" s="105">
        <f>G310-I310</f>
        <v>0</v>
      </c>
      <c r="K310" s="99"/>
    </row>
    <row r="311" spans="1:11" ht="14.25">
      <c r="A311" s="44" t="s">
        <v>98</v>
      </c>
      <c r="B311" s="149" t="s">
        <v>99</v>
      </c>
      <c r="C311" s="173">
        <f>E311</f>
        <v>0</v>
      </c>
      <c r="D311" s="103">
        <f>F311</f>
        <v>80500</v>
      </c>
      <c r="E311" s="95"/>
      <c r="F311" s="95">
        <v>80500</v>
      </c>
      <c r="G311" s="95">
        <v>80310</v>
      </c>
      <c r="H311" s="105">
        <f>G311</f>
        <v>80310</v>
      </c>
      <c r="I311" s="105">
        <v>80310</v>
      </c>
      <c r="J311" s="105">
        <f>G311-I311</f>
        <v>0</v>
      </c>
      <c r="K311" s="99">
        <v>12101</v>
      </c>
    </row>
    <row r="312" spans="1:11" ht="28.5" hidden="1">
      <c r="A312" s="56" t="s">
        <v>304</v>
      </c>
      <c r="B312" s="147" t="s">
        <v>101</v>
      </c>
      <c r="C312" s="129">
        <f>D312</f>
        <v>0</v>
      </c>
      <c r="D312" s="85">
        <f>D313</f>
        <v>0</v>
      </c>
      <c r="E312" s="85">
        <f>E313</f>
        <v>0</v>
      </c>
      <c r="F312" s="85">
        <f t="shared" ref="F312:K312" si="130">F313</f>
        <v>0</v>
      </c>
      <c r="G312" s="85">
        <f t="shared" si="130"/>
        <v>0</v>
      </c>
      <c r="H312" s="85">
        <f t="shared" si="130"/>
        <v>0</v>
      </c>
      <c r="I312" s="85">
        <f t="shared" si="130"/>
        <v>0</v>
      </c>
      <c r="J312" s="85">
        <f t="shared" si="130"/>
        <v>0</v>
      </c>
      <c r="K312" s="86">
        <f t="shared" si="130"/>
        <v>0</v>
      </c>
    </row>
    <row r="313" spans="1:11" ht="14.25" hidden="1">
      <c r="A313" s="44" t="s">
        <v>102</v>
      </c>
      <c r="B313" s="148" t="s">
        <v>103</v>
      </c>
      <c r="C313" s="127">
        <f>E313</f>
        <v>0</v>
      </c>
      <c r="D313" s="127">
        <f>F313</f>
        <v>0</v>
      </c>
      <c r="E313" s="88"/>
      <c r="F313" s="88"/>
      <c r="G313" s="88"/>
      <c r="H313" s="88">
        <f>G313</f>
        <v>0</v>
      </c>
      <c r="I313" s="88"/>
      <c r="J313" s="88"/>
      <c r="K313" s="88"/>
    </row>
    <row r="314" spans="1:11" ht="45">
      <c r="A314" s="36" t="s">
        <v>305</v>
      </c>
      <c r="B314" s="146" t="s">
        <v>105</v>
      </c>
      <c r="C314" s="83">
        <f>C315+C326+C330+C331</f>
        <v>36141054</v>
      </c>
      <c r="D314" s="83">
        <f t="shared" ref="D314:K314" si="131">D315+D326+D330+D331</f>
        <v>35001390</v>
      </c>
      <c r="E314" s="83">
        <f t="shared" si="131"/>
        <v>36159054</v>
      </c>
      <c r="F314" s="83">
        <f t="shared" si="131"/>
        <v>35074390</v>
      </c>
      <c r="G314" s="83">
        <f t="shared" si="131"/>
        <v>23490433</v>
      </c>
      <c r="H314" s="83">
        <f t="shared" si="131"/>
        <v>23490433</v>
      </c>
      <c r="I314" s="83">
        <f t="shared" si="131"/>
        <v>23490433</v>
      </c>
      <c r="J314" s="83">
        <f t="shared" si="131"/>
        <v>0</v>
      </c>
      <c r="K314" s="83">
        <f t="shared" si="131"/>
        <v>7927874</v>
      </c>
    </row>
    <row r="315" spans="1:11" ht="28.5">
      <c r="A315" s="56" t="s">
        <v>106</v>
      </c>
      <c r="B315" s="147" t="s">
        <v>107</v>
      </c>
      <c r="C315" s="85">
        <f>C316+C317+C318+C319+C320+C321+C322+C323+C325</f>
        <v>20680500</v>
      </c>
      <c r="D315" s="85">
        <f>D316+D317+D318+D319+D320+D321+D322+D323+D325</f>
        <v>20369500</v>
      </c>
      <c r="E315" s="85">
        <f>E316+E317+E318+E319+E320+E321+E322+E323+E325+E324</f>
        <v>20680500</v>
      </c>
      <c r="F315" s="85">
        <f t="shared" ref="F315:K315" si="132">F316+F317+F318+F319+F320+F321+F322+F323+F325+F324</f>
        <v>20424500</v>
      </c>
      <c r="G315" s="85">
        <f t="shared" si="132"/>
        <v>15783641</v>
      </c>
      <c r="H315" s="85">
        <f t="shared" si="132"/>
        <v>15783641</v>
      </c>
      <c r="I315" s="85">
        <f t="shared" si="132"/>
        <v>15783641</v>
      </c>
      <c r="J315" s="85">
        <f t="shared" si="132"/>
        <v>0</v>
      </c>
      <c r="K315" s="85">
        <f t="shared" si="132"/>
        <v>461812</v>
      </c>
    </row>
    <row r="316" spans="1:11" ht="28.5">
      <c r="A316" s="44" t="s">
        <v>306</v>
      </c>
      <c r="B316" s="148" t="s">
        <v>109</v>
      </c>
      <c r="C316" s="173">
        <f>D316</f>
        <v>0</v>
      </c>
      <c r="D316" s="103"/>
      <c r="E316" s="95"/>
      <c r="F316" s="95"/>
      <c r="G316" s="95"/>
      <c r="H316" s="105">
        <f>G316</f>
        <v>0</v>
      </c>
      <c r="I316" s="105"/>
      <c r="J316" s="105">
        <f t="shared" ref="J316:J325" si="133">G316-I316</f>
        <v>0</v>
      </c>
      <c r="K316" s="99"/>
    </row>
    <row r="317" spans="1:11" ht="14.25">
      <c r="A317" s="44" t="s">
        <v>110</v>
      </c>
      <c r="B317" s="148" t="s">
        <v>111</v>
      </c>
      <c r="C317" s="173">
        <f>E317</f>
        <v>16856500</v>
      </c>
      <c r="D317" s="103">
        <f>F317</f>
        <v>15924000</v>
      </c>
      <c r="E317" s="95">
        <f>16856500</f>
        <v>16856500</v>
      </c>
      <c r="F317" s="95">
        <v>15924000</v>
      </c>
      <c r="G317" s="95">
        <v>12348568</v>
      </c>
      <c r="H317" s="105">
        <v>12348568</v>
      </c>
      <c r="I317" s="105">
        <v>12348568</v>
      </c>
      <c r="J317" s="105">
        <f t="shared" si="133"/>
        <v>0</v>
      </c>
      <c r="K317" s="99">
        <v>9335</v>
      </c>
    </row>
    <row r="318" spans="1:11" ht="28.5">
      <c r="A318" s="44" t="s">
        <v>112</v>
      </c>
      <c r="B318" s="148" t="s">
        <v>113</v>
      </c>
      <c r="C318" s="173">
        <f>E318</f>
        <v>3824000</v>
      </c>
      <c r="D318" s="103">
        <f>F318-55000</f>
        <v>4445500</v>
      </c>
      <c r="E318" s="95">
        <f>3824000</f>
        <v>3824000</v>
      </c>
      <c r="F318" s="95">
        <f>55000+4445500</f>
        <v>4500500</v>
      </c>
      <c r="G318" s="95">
        <f>48999+3386074</f>
        <v>3435073</v>
      </c>
      <c r="H318" s="105">
        <f>48999+3386074</f>
        <v>3435073</v>
      </c>
      <c r="I318" s="95">
        <f>48999+3386074</f>
        <v>3435073</v>
      </c>
      <c r="J318" s="105">
        <f t="shared" si="133"/>
        <v>0</v>
      </c>
      <c r="K318" s="99">
        <f>77921+332956+41600</f>
        <v>452477</v>
      </c>
    </row>
    <row r="319" spans="1:11" ht="14.25" hidden="1">
      <c r="A319" s="44" t="s">
        <v>114</v>
      </c>
      <c r="B319" s="148" t="s">
        <v>115</v>
      </c>
      <c r="C319" s="173">
        <f t="shared" ref="C319:C325" si="134">D319</f>
        <v>0</v>
      </c>
      <c r="D319" s="103"/>
      <c r="E319" s="95"/>
      <c r="F319" s="95"/>
      <c r="G319" s="95"/>
      <c r="H319" s="105">
        <f t="shared" ref="H319:H325" si="135">G319</f>
        <v>0</v>
      </c>
      <c r="I319" s="105"/>
      <c r="J319" s="105">
        <f t="shared" si="133"/>
        <v>0</v>
      </c>
      <c r="K319" s="99"/>
    </row>
    <row r="320" spans="1:11" ht="14.25" hidden="1">
      <c r="A320" s="44" t="s">
        <v>116</v>
      </c>
      <c r="B320" s="148" t="s">
        <v>117</v>
      </c>
      <c r="C320" s="173">
        <v>0</v>
      </c>
      <c r="D320" s="103">
        <v>0</v>
      </c>
      <c r="E320" s="95">
        <v>0</v>
      </c>
      <c r="F320" s="95"/>
      <c r="G320" s="95"/>
      <c r="H320" s="105">
        <f t="shared" si="135"/>
        <v>0</v>
      </c>
      <c r="I320" s="95">
        <f>G320</f>
        <v>0</v>
      </c>
      <c r="J320" s="105">
        <f t="shared" si="133"/>
        <v>0</v>
      </c>
      <c r="K320" s="99"/>
    </row>
    <row r="321" spans="1:11" ht="14.25" hidden="1">
      <c r="A321" s="44" t="s">
        <v>118</v>
      </c>
      <c r="B321" s="148" t="s">
        <v>119</v>
      </c>
      <c r="C321" s="173">
        <f t="shared" si="134"/>
        <v>0</v>
      </c>
      <c r="D321" s="103"/>
      <c r="E321" s="95"/>
      <c r="F321" s="95"/>
      <c r="G321" s="95"/>
      <c r="H321" s="105">
        <f t="shared" si="135"/>
        <v>0</v>
      </c>
      <c r="I321" s="105"/>
      <c r="J321" s="105">
        <f t="shared" si="133"/>
        <v>0</v>
      </c>
      <c r="K321" s="99"/>
    </row>
    <row r="322" spans="1:11" ht="28.5" hidden="1">
      <c r="A322" s="130" t="s">
        <v>120</v>
      </c>
      <c r="B322" s="148" t="s">
        <v>121</v>
      </c>
      <c r="C322" s="173">
        <f t="shared" si="134"/>
        <v>0</v>
      </c>
      <c r="D322" s="103"/>
      <c r="E322" s="95"/>
      <c r="F322" s="95"/>
      <c r="G322" s="95"/>
      <c r="H322" s="105">
        <f t="shared" si="135"/>
        <v>0</v>
      </c>
      <c r="I322" s="105"/>
      <c r="J322" s="105">
        <f t="shared" si="133"/>
        <v>0</v>
      </c>
      <c r="K322" s="99"/>
    </row>
    <row r="323" spans="1:11" ht="28.5" hidden="1">
      <c r="A323" s="44" t="s">
        <v>122</v>
      </c>
      <c r="B323" s="148" t="s">
        <v>123</v>
      </c>
      <c r="C323" s="173">
        <f t="shared" si="134"/>
        <v>0</v>
      </c>
      <c r="D323" s="103"/>
      <c r="E323" s="95"/>
      <c r="F323" s="95"/>
      <c r="G323" s="95"/>
      <c r="H323" s="105">
        <f t="shared" si="135"/>
        <v>0</v>
      </c>
      <c r="I323" s="105"/>
      <c r="J323" s="105">
        <f t="shared" si="133"/>
        <v>0</v>
      </c>
      <c r="K323" s="99"/>
    </row>
    <row r="324" spans="1:11" ht="14.25" hidden="1">
      <c r="A324" s="44"/>
      <c r="B324" s="148" t="s">
        <v>125</v>
      </c>
      <c r="C324" s="173"/>
      <c r="D324" s="103"/>
      <c r="E324" s="95"/>
      <c r="F324" s="95"/>
      <c r="G324" s="95"/>
      <c r="H324" s="105">
        <f t="shared" si="135"/>
        <v>0</v>
      </c>
      <c r="I324" s="105"/>
      <c r="J324" s="105">
        <f t="shared" si="133"/>
        <v>0</v>
      </c>
      <c r="K324" s="99"/>
    </row>
    <row r="325" spans="1:11" ht="14.25" hidden="1">
      <c r="A325" s="44" t="s">
        <v>126</v>
      </c>
      <c r="B325" s="148" t="s">
        <v>127</v>
      </c>
      <c r="C325" s="173">
        <f t="shared" si="134"/>
        <v>0</v>
      </c>
      <c r="D325" s="103"/>
      <c r="E325" s="95"/>
      <c r="F325" s="95"/>
      <c r="G325" s="95"/>
      <c r="H325" s="105">
        <f t="shared" si="135"/>
        <v>0</v>
      </c>
      <c r="I325" s="105"/>
      <c r="J325" s="105">
        <f t="shared" si="133"/>
        <v>0</v>
      </c>
      <c r="K325" s="99"/>
    </row>
    <row r="326" spans="1:11" ht="28.5">
      <c r="A326" s="56" t="s">
        <v>283</v>
      </c>
      <c r="B326" s="147" t="s">
        <v>129</v>
      </c>
      <c r="C326" s="129">
        <f>C327+C329</f>
        <v>6979000</v>
      </c>
      <c r="D326" s="85">
        <f>D327+D328+D329</f>
        <v>2455200</v>
      </c>
      <c r="E326" s="85">
        <f>E327+E328+E329</f>
        <v>6979000</v>
      </c>
      <c r="F326" s="85">
        <f t="shared" ref="F326:K326" si="136">F327+F328+F329</f>
        <v>2455200</v>
      </c>
      <c r="G326" s="85">
        <f t="shared" si="136"/>
        <v>2219752</v>
      </c>
      <c r="H326" s="85">
        <f t="shared" si="136"/>
        <v>2219752</v>
      </c>
      <c r="I326" s="85">
        <f t="shared" si="136"/>
        <v>2219752</v>
      </c>
      <c r="J326" s="85">
        <f t="shared" si="136"/>
        <v>0</v>
      </c>
      <c r="K326" s="86">
        <f t="shared" si="136"/>
        <v>1190</v>
      </c>
    </row>
    <row r="327" spans="1:11" ht="27" customHeight="1">
      <c r="A327" s="44" t="s">
        <v>130</v>
      </c>
      <c r="B327" s="148" t="s">
        <v>131</v>
      </c>
      <c r="C327" s="173">
        <f>E327</f>
        <v>6911000</v>
      </c>
      <c r="D327" s="173">
        <f>F327</f>
        <v>2364000</v>
      </c>
      <c r="E327" s="95">
        <f>2501000+4410000</f>
        <v>6911000</v>
      </c>
      <c r="F327" s="95">
        <f>2010000+354000</f>
        <v>2364000</v>
      </c>
      <c r="G327" s="95">
        <f>1962742+255737</f>
        <v>2218479</v>
      </c>
      <c r="H327" s="95">
        <f>G327</f>
        <v>2218479</v>
      </c>
      <c r="I327" s="95">
        <f>H327</f>
        <v>2218479</v>
      </c>
      <c r="J327" s="138">
        <f>G327-I327</f>
        <v>0</v>
      </c>
      <c r="K327" s="99"/>
    </row>
    <row r="328" spans="1:11" ht="14.25" hidden="1">
      <c r="A328" s="44" t="s">
        <v>132</v>
      </c>
      <c r="B328" s="148" t="s">
        <v>133</v>
      </c>
      <c r="C328" s="173">
        <f>D328</f>
        <v>0</v>
      </c>
      <c r="D328" s="103">
        <f>F328</f>
        <v>0</v>
      </c>
      <c r="E328" s="95"/>
      <c r="F328" s="95"/>
      <c r="G328" s="95"/>
      <c r="H328" s="95"/>
      <c r="I328" s="105"/>
      <c r="J328" s="138">
        <f>G328-I328</f>
        <v>0</v>
      </c>
      <c r="K328" s="99"/>
    </row>
    <row r="329" spans="1:11" ht="28.5">
      <c r="A329" s="44" t="s">
        <v>307</v>
      </c>
      <c r="B329" s="148" t="s">
        <v>135</v>
      </c>
      <c r="C329" s="173">
        <f>E329</f>
        <v>68000</v>
      </c>
      <c r="D329" s="103">
        <f>F329</f>
        <v>91200</v>
      </c>
      <c r="E329" s="95">
        <f>68000</f>
        <v>68000</v>
      </c>
      <c r="F329" s="95">
        <f>88000+3200</f>
        <v>91200</v>
      </c>
      <c r="G329" s="95">
        <f>678+595</f>
        <v>1273</v>
      </c>
      <c r="H329" s="95">
        <f>678+595</f>
        <v>1273</v>
      </c>
      <c r="I329" s="95">
        <f>678+595</f>
        <v>1273</v>
      </c>
      <c r="J329" s="138">
        <f>G329-I329</f>
        <v>0</v>
      </c>
      <c r="K329" s="99">
        <f>595+595</f>
        <v>1190</v>
      </c>
    </row>
    <row r="330" spans="1:11" ht="14.25" hidden="1">
      <c r="A330" s="44" t="s">
        <v>136</v>
      </c>
      <c r="B330" s="148" t="s">
        <v>137</v>
      </c>
      <c r="C330" s="173">
        <f>D330</f>
        <v>0</v>
      </c>
      <c r="D330" s="103">
        <f>F330</f>
        <v>0</v>
      </c>
      <c r="E330" s="95"/>
      <c r="F330" s="95"/>
      <c r="G330" s="95"/>
      <c r="H330" s="95"/>
      <c r="I330" s="105"/>
      <c r="J330" s="138">
        <f>G330-I330</f>
        <v>0</v>
      </c>
      <c r="K330" s="99"/>
    </row>
    <row r="331" spans="1:11" ht="28.5">
      <c r="A331" s="44" t="s">
        <v>138</v>
      </c>
      <c r="B331" s="148" t="s">
        <v>139</v>
      </c>
      <c r="C331" s="173">
        <f>E331-18000</f>
        <v>8481554</v>
      </c>
      <c r="D331" s="103">
        <f>F331-18000</f>
        <v>12176690</v>
      </c>
      <c r="E331" s="95">
        <f>2534554+1040100+3600+4921300</f>
        <v>8499554</v>
      </c>
      <c r="F331" s="95">
        <f>2111990+1474100+3600+8605000</f>
        <v>12194690</v>
      </c>
      <c r="G331" s="95">
        <f>1553093+1451264+2482683</f>
        <v>5487040</v>
      </c>
      <c r="H331" s="105">
        <f>G331</f>
        <v>5487040</v>
      </c>
      <c r="I331" s="105">
        <f>G331</f>
        <v>5487040</v>
      </c>
      <c r="J331" s="138">
        <f>G331-I331</f>
        <v>0</v>
      </c>
      <c r="K331" s="99">
        <f>226660+7198557+39655</f>
        <v>7464872</v>
      </c>
    </row>
    <row r="332" spans="1:11" ht="60">
      <c r="A332" s="36" t="s">
        <v>141</v>
      </c>
      <c r="B332" s="146" t="s">
        <v>142</v>
      </c>
      <c r="C332" s="83">
        <f t="shared" ref="C332:K332" si="137">C333+C334+C336+C337+C338+C339+C340+C343</f>
        <v>470000</v>
      </c>
      <c r="D332" s="83">
        <f t="shared" si="137"/>
        <v>2000</v>
      </c>
      <c r="E332" s="83">
        <f t="shared" si="137"/>
        <v>470000</v>
      </c>
      <c r="F332" s="83">
        <f t="shared" si="137"/>
        <v>2000</v>
      </c>
      <c r="G332" s="83">
        <f t="shared" si="137"/>
        <v>0</v>
      </c>
      <c r="H332" s="83">
        <f t="shared" si="137"/>
        <v>0</v>
      </c>
      <c r="I332" s="83">
        <f t="shared" si="137"/>
        <v>0</v>
      </c>
      <c r="J332" s="83">
        <f t="shared" si="137"/>
        <v>0</v>
      </c>
      <c r="K332" s="84">
        <f t="shared" si="137"/>
        <v>106590</v>
      </c>
    </row>
    <row r="333" spans="1:11" ht="14.25" hidden="1">
      <c r="A333" s="44" t="s">
        <v>143</v>
      </c>
      <c r="B333" s="148" t="s">
        <v>144</v>
      </c>
      <c r="C333" s="103">
        <f>E333</f>
        <v>0</v>
      </c>
      <c r="D333" s="103">
        <f>F333</f>
        <v>0</v>
      </c>
      <c r="E333" s="95"/>
      <c r="F333" s="95"/>
      <c r="G333" s="95"/>
      <c r="H333" s="105">
        <f>G333</f>
        <v>0</v>
      </c>
      <c r="I333" s="105"/>
      <c r="J333" s="105">
        <f>G333-I333</f>
        <v>0</v>
      </c>
      <c r="K333" s="131"/>
    </row>
    <row r="334" spans="1:11" ht="28.5">
      <c r="A334" s="56" t="s">
        <v>145</v>
      </c>
      <c r="B334" s="147" t="s">
        <v>146</v>
      </c>
      <c r="C334" s="41"/>
      <c r="D334" s="85">
        <f>D335</f>
        <v>0</v>
      </c>
      <c r="E334" s="85">
        <f>E335</f>
        <v>0</v>
      </c>
      <c r="F334" s="85">
        <f t="shared" ref="F334:K334" si="138">F335</f>
        <v>0</v>
      </c>
      <c r="G334" s="85">
        <f t="shared" si="138"/>
        <v>0</v>
      </c>
      <c r="H334" s="85">
        <f t="shared" si="138"/>
        <v>0</v>
      </c>
      <c r="I334" s="85">
        <f t="shared" si="138"/>
        <v>0</v>
      </c>
      <c r="J334" s="85">
        <f t="shared" si="138"/>
        <v>0</v>
      </c>
      <c r="K334" s="86">
        <f t="shared" si="138"/>
        <v>0</v>
      </c>
    </row>
    <row r="335" spans="1:11" ht="14.25">
      <c r="A335" s="44" t="s">
        <v>147</v>
      </c>
      <c r="B335" s="148" t="s">
        <v>148</v>
      </c>
      <c r="C335" s="173">
        <f>E335</f>
        <v>0</v>
      </c>
      <c r="D335" s="103"/>
      <c r="E335" s="95"/>
      <c r="F335" s="95"/>
      <c r="G335" s="95"/>
      <c r="H335" s="105">
        <f>G335</f>
        <v>0</v>
      </c>
      <c r="I335" s="105"/>
      <c r="J335" s="105">
        <f>G335-I335</f>
        <v>0</v>
      </c>
      <c r="K335" s="99"/>
    </row>
    <row r="336" spans="1:11" ht="14.25">
      <c r="A336" s="44" t="s">
        <v>149</v>
      </c>
      <c r="B336" s="148" t="s">
        <v>150</v>
      </c>
      <c r="C336" s="173">
        <v>0</v>
      </c>
      <c r="D336" s="173">
        <v>0</v>
      </c>
      <c r="E336" s="95"/>
      <c r="F336" s="95"/>
      <c r="G336" s="95"/>
      <c r="H336" s="105">
        <f>G336</f>
        <v>0</v>
      </c>
      <c r="I336" s="105"/>
      <c r="J336" s="105">
        <f>G336-I336</f>
        <v>0</v>
      </c>
      <c r="K336" s="99"/>
    </row>
    <row r="337" spans="1:11" ht="14.25">
      <c r="A337" s="44" t="s">
        <v>151</v>
      </c>
      <c r="B337" s="148" t="s">
        <v>152</v>
      </c>
      <c r="C337" s="173">
        <f>E337</f>
        <v>470000</v>
      </c>
      <c r="D337" s="173">
        <f>F337</f>
        <v>1000</v>
      </c>
      <c r="E337" s="95">
        <v>470000</v>
      </c>
      <c r="F337" s="95">
        <v>1000</v>
      </c>
      <c r="G337" s="95"/>
      <c r="H337" s="105">
        <f>G337</f>
        <v>0</v>
      </c>
      <c r="I337" s="105"/>
      <c r="J337" s="105">
        <f>G337-I337</f>
        <v>0</v>
      </c>
      <c r="K337" s="99"/>
    </row>
    <row r="338" spans="1:11" ht="14.25">
      <c r="A338" s="44" t="s">
        <v>153</v>
      </c>
      <c r="B338" s="148" t="s">
        <v>154</v>
      </c>
      <c r="C338" s="173">
        <f>E338</f>
        <v>0</v>
      </c>
      <c r="D338" s="103"/>
      <c r="E338" s="95"/>
      <c r="F338" s="95"/>
      <c r="G338" s="95"/>
      <c r="H338" s="105">
        <f>G338</f>
        <v>0</v>
      </c>
      <c r="I338" s="105"/>
      <c r="J338" s="105">
        <f>G338-I338</f>
        <v>0</v>
      </c>
      <c r="K338" s="99"/>
    </row>
    <row r="339" spans="1:11" ht="14.25">
      <c r="A339" s="44" t="s">
        <v>155</v>
      </c>
      <c r="B339" s="149" t="s">
        <v>156</v>
      </c>
      <c r="C339" s="173">
        <f>E339</f>
        <v>0</v>
      </c>
      <c r="D339" s="103"/>
      <c r="E339" s="95"/>
      <c r="F339" s="95"/>
      <c r="G339" s="95"/>
      <c r="H339" s="105">
        <f>G339</f>
        <v>0</v>
      </c>
      <c r="I339" s="105"/>
      <c r="J339" s="105">
        <f>G339-I339</f>
        <v>0</v>
      </c>
      <c r="K339" s="99"/>
    </row>
    <row r="340" spans="1:11" ht="28.5">
      <c r="A340" s="56" t="s">
        <v>308</v>
      </c>
      <c r="B340" s="147" t="s">
        <v>158</v>
      </c>
      <c r="C340" s="41"/>
      <c r="D340" s="85">
        <f t="shared" ref="D340:K340" si="139">D341+D342</f>
        <v>0</v>
      </c>
      <c r="E340" s="85">
        <f t="shared" si="139"/>
        <v>0</v>
      </c>
      <c r="F340" s="85">
        <f t="shared" si="139"/>
        <v>0</v>
      </c>
      <c r="G340" s="85">
        <f t="shared" si="139"/>
        <v>0</v>
      </c>
      <c r="H340" s="85">
        <f t="shared" si="139"/>
        <v>0</v>
      </c>
      <c r="I340" s="85">
        <f t="shared" si="139"/>
        <v>0</v>
      </c>
      <c r="J340" s="85">
        <f t="shared" si="139"/>
        <v>0</v>
      </c>
      <c r="K340" s="86">
        <f t="shared" si="139"/>
        <v>0</v>
      </c>
    </row>
    <row r="341" spans="1:11" ht="14.25" hidden="1">
      <c r="A341" s="44" t="s">
        <v>159</v>
      </c>
      <c r="B341" s="148" t="s">
        <v>160</v>
      </c>
      <c r="C341" s="173">
        <f>D341</f>
        <v>0</v>
      </c>
      <c r="D341" s="103"/>
      <c r="E341" s="95"/>
      <c r="F341" s="95"/>
      <c r="G341" s="95"/>
      <c r="H341" s="103">
        <f>G341</f>
        <v>0</v>
      </c>
      <c r="I341" s="105"/>
      <c r="J341" s="105">
        <f>G341-I341</f>
        <v>0</v>
      </c>
      <c r="K341" s="99"/>
    </row>
    <row r="342" spans="1:11" ht="14.25" hidden="1">
      <c r="A342" s="44" t="s">
        <v>161</v>
      </c>
      <c r="B342" s="148" t="s">
        <v>162</v>
      </c>
      <c r="C342" s="173">
        <f>D342</f>
        <v>0</v>
      </c>
      <c r="D342" s="103"/>
      <c r="E342" s="95"/>
      <c r="F342" s="95"/>
      <c r="G342" s="95"/>
      <c r="H342" s="103">
        <f>G342</f>
        <v>0</v>
      </c>
      <c r="I342" s="105"/>
      <c r="J342" s="105">
        <f>G342-I342</f>
        <v>0</v>
      </c>
      <c r="K342" s="99"/>
    </row>
    <row r="343" spans="1:11" ht="28.5">
      <c r="A343" s="44" t="s">
        <v>163</v>
      </c>
      <c r="B343" s="148" t="s">
        <v>164</v>
      </c>
      <c r="C343" s="103">
        <f>E343</f>
        <v>0</v>
      </c>
      <c r="D343" s="103">
        <f>F343</f>
        <v>1000</v>
      </c>
      <c r="E343" s="95">
        <v>0</v>
      </c>
      <c r="F343" s="95">
        <f>1000</f>
        <v>1000</v>
      </c>
      <c r="G343" s="95"/>
      <c r="H343" s="95">
        <f>G343</f>
        <v>0</v>
      </c>
      <c r="I343" s="95"/>
      <c r="J343" s="105">
        <v>0</v>
      </c>
      <c r="K343" s="95">
        <f>3086+103504</f>
        <v>106590</v>
      </c>
    </row>
    <row r="344" spans="1:11" ht="44.25" customHeight="1">
      <c r="A344" s="32" t="s">
        <v>309</v>
      </c>
      <c r="B344" s="151"/>
      <c r="C344" s="82">
        <f t="shared" ref="C344:I344" si="140">C345+C355</f>
        <v>97034060</v>
      </c>
      <c r="D344" s="82">
        <f t="shared" si="140"/>
        <v>89911030</v>
      </c>
      <c r="E344" s="82">
        <f t="shared" si="140"/>
        <v>97034060</v>
      </c>
      <c r="F344" s="82">
        <f t="shared" si="140"/>
        <v>89911030</v>
      </c>
      <c r="G344" s="82">
        <f t="shared" si="140"/>
        <v>66867013</v>
      </c>
      <c r="H344" s="82">
        <f t="shared" si="140"/>
        <v>66867013</v>
      </c>
      <c r="I344" s="82">
        <f t="shared" si="140"/>
        <v>66867013</v>
      </c>
      <c r="J344" s="82">
        <f>J345+J355</f>
        <v>0</v>
      </c>
      <c r="K344" s="82">
        <f>K345+K355</f>
        <v>10272964</v>
      </c>
    </row>
    <row r="345" spans="1:11" ht="40.5" customHeight="1">
      <c r="A345" s="36" t="s">
        <v>168</v>
      </c>
      <c r="B345" s="146" t="s">
        <v>169</v>
      </c>
      <c r="C345" s="83">
        <f t="shared" ref="C345:I345" si="141">C346+C349+C352+C353+C354</f>
        <v>97034060</v>
      </c>
      <c r="D345" s="83">
        <f t="shared" si="141"/>
        <v>89911030</v>
      </c>
      <c r="E345" s="83">
        <f t="shared" si="141"/>
        <v>97034060</v>
      </c>
      <c r="F345" s="83">
        <f t="shared" si="141"/>
        <v>89911030</v>
      </c>
      <c r="G345" s="83">
        <f t="shared" si="141"/>
        <v>66867013</v>
      </c>
      <c r="H345" s="83">
        <f t="shared" si="141"/>
        <v>66867013</v>
      </c>
      <c r="I345" s="83">
        <f t="shared" si="141"/>
        <v>66867013</v>
      </c>
      <c r="J345" s="83">
        <f>J346+J349+J352+J353+J354</f>
        <v>0</v>
      </c>
      <c r="K345" s="84">
        <f>K346+K349+K352+K353+K354</f>
        <v>10255671</v>
      </c>
    </row>
    <row r="346" spans="1:11" ht="27.75" customHeight="1">
      <c r="A346" s="56" t="s">
        <v>170</v>
      </c>
      <c r="B346" s="147" t="s">
        <v>171</v>
      </c>
      <c r="C346" s="85">
        <f>C347+C348</f>
        <v>44131300</v>
      </c>
      <c r="D346" s="85">
        <f>D347+D348</f>
        <v>43368435</v>
      </c>
      <c r="E346" s="85">
        <f>E347+E348</f>
        <v>44131300</v>
      </c>
      <c r="F346" s="85">
        <f t="shared" ref="F346:K346" si="142">F347+F348</f>
        <v>43368435</v>
      </c>
      <c r="G346" s="85">
        <f t="shared" si="142"/>
        <v>22258890</v>
      </c>
      <c r="H346" s="85">
        <f t="shared" si="142"/>
        <v>22258890</v>
      </c>
      <c r="I346" s="85">
        <f t="shared" si="142"/>
        <v>22258890</v>
      </c>
      <c r="J346" s="85">
        <f>J347+J348</f>
        <v>0</v>
      </c>
      <c r="K346" s="86">
        <f t="shared" si="142"/>
        <v>612221</v>
      </c>
    </row>
    <row r="347" spans="1:11" ht="15.95" customHeight="1">
      <c r="A347" s="44" t="s">
        <v>172</v>
      </c>
      <c r="B347" s="148" t="s">
        <v>173</v>
      </c>
      <c r="C347" s="177"/>
      <c r="D347" s="103"/>
      <c r="E347" s="95"/>
      <c r="F347" s="95"/>
      <c r="G347" s="95"/>
      <c r="H347" s="95">
        <f>G347</f>
        <v>0</v>
      </c>
      <c r="I347" s="95"/>
      <c r="J347" s="95">
        <f>G347-I347</f>
        <v>0</v>
      </c>
      <c r="K347" s="99"/>
    </row>
    <row r="348" spans="1:11" ht="15.95" customHeight="1">
      <c r="A348" s="44" t="s">
        <v>174</v>
      </c>
      <c r="B348" s="148" t="s">
        <v>175</v>
      </c>
      <c r="C348" s="173">
        <f>E348</f>
        <v>44131300</v>
      </c>
      <c r="D348" s="103">
        <f>F348</f>
        <v>43368435</v>
      </c>
      <c r="E348" s="95">
        <f>'[1]13+verif'!E345</f>
        <v>44131300</v>
      </c>
      <c r="F348" s="95">
        <f>'[1]13+verif'!F345</f>
        <v>43368435</v>
      </c>
      <c r="G348" s="95">
        <f>'[1]13+verif'!G345</f>
        <v>22258890</v>
      </c>
      <c r="H348" s="95">
        <f>'[1]13+verif'!H345</f>
        <v>22258890</v>
      </c>
      <c r="I348" s="95">
        <f>'[1]13+verif'!I345</f>
        <v>22258890</v>
      </c>
      <c r="J348" s="95">
        <f>'[1]13+verif'!J345</f>
        <v>0</v>
      </c>
      <c r="K348" s="95">
        <f>'[1]13+verif'!K345</f>
        <v>612221</v>
      </c>
    </row>
    <row r="349" spans="1:11" ht="42.75">
      <c r="A349" s="56" t="s">
        <v>310</v>
      </c>
      <c r="B349" s="147" t="s">
        <v>177</v>
      </c>
      <c r="C349" s="85">
        <f>C350+C351</f>
        <v>24808700</v>
      </c>
      <c r="D349" s="85">
        <f>D350+D351</f>
        <v>25025300</v>
      </c>
      <c r="E349" s="85">
        <f>E350+E351</f>
        <v>24808700</v>
      </c>
      <c r="F349" s="85">
        <f t="shared" ref="F349:K349" si="143">F350+F351</f>
        <v>25025300</v>
      </c>
      <c r="G349" s="85">
        <f t="shared" si="143"/>
        <v>23959154</v>
      </c>
      <c r="H349" s="85">
        <f t="shared" si="143"/>
        <v>23959154</v>
      </c>
      <c r="I349" s="85">
        <f t="shared" si="143"/>
        <v>23959154</v>
      </c>
      <c r="J349" s="85">
        <f t="shared" si="143"/>
        <v>0</v>
      </c>
      <c r="K349" s="85">
        <f t="shared" si="143"/>
        <v>1083</v>
      </c>
    </row>
    <row r="350" spans="1:11" ht="14.25">
      <c r="A350" s="44" t="s">
        <v>178</v>
      </c>
      <c r="B350" s="148" t="s">
        <v>179</v>
      </c>
      <c r="C350" s="173">
        <f t="shared" ref="C350:D354" si="144">E350</f>
        <v>24808700</v>
      </c>
      <c r="D350" s="103">
        <f t="shared" si="144"/>
        <v>25025300</v>
      </c>
      <c r="E350" s="95">
        <f>24702000+106700</f>
        <v>24808700</v>
      </c>
      <c r="F350" s="95">
        <f>24918600+106700</f>
        <v>25025300</v>
      </c>
      <c r="G350" s="95">
        <f>23959154</f>
        <v>23959154</v>
      </c>
      <c r="H350" s="95">
        <f>G350</f>
        <v>23959154</v>
      </c>
      <c r="I350" s="95">
        <f>H350</f>
        <v>23959154</v>
      </c>
      <c r="J350" s="138"/>
      <c r="K350" s="99">
        <v>1083</v>
      </c>
    </row>
    <row r="351" spans="1:11" ht="14.25">
      <c r="A351" s="44" t="s">
        <v>180</v>
      </c>
      <c r="B351" s="148" t="s">
        <v>181</v>
      </c>
      <c r="C351" s="173">
        <f t="shared" si="144"/>
        <v>0</v>
      </c>
      <c r="D351" s="103">
        <f t="shared" si="144"/>
        <v>0</v>
      </c>
      <c r="E351" s="95"/>
      <c r="F351" s="95"/>
      <c r="G351" s="95"/>
      <c r="H351" s="95"/>
      <c r="I351" s="95"/>
      <c r="J351" s="95"/>
      <c r="K351" s="99"/>
    </row>
    <row r="352" spans="1:11" ht="14.25">
      <c r="A352" s="44" t="s">
        <v>182</v>
      </c>
      <c r="B352" s="148" t="s">
        <v>183</v>
      </c>
      <c r="C352" s="173">
        <f>E352</f>
        <v>7646320</v>
      </c>
      <c r="D352" s="173">
        <f>F352</f>
        <v>2748500</v>
      </c>
      <c r="E352" s="95">
        <f>2723500+4922820</f>
        <v>7646320</v>
      </c>
      <c r="F352" s="95">
        <f>2748500</f>
        <v>2748500</v>
      </c>
      <c r="G352" s="95">
        <f>2695918</f>
        <v>2695918</v>
      </c>
      <c r="H352" s="95">
        <f>G352</f>
        <v>2695918</v>
      </c>
      <c r="I352" s="95">
        <f>H352</f>
        <v>2695918</v>
      </c>
      <c r="J352" s="138">
        <f>H352-I352</f>
        <v>0</v>
      </c>
      <c r="K352" s="99">
        <v>3231415</v>
      </c>
    </row>
    <row r="353" spans="1:13" ht="14.25">
      <c r="A353" s="44" t="s">
        <v>184</v>
      </c>
      <c r="B353" s="148" t="s">
        <v>185</v>
      </c>
      <c r="C353" s="173">
        <f t="shared" si="144"/>
        <v>0</v>
      </c>
      <c r="D353" s="103">
        <f t="shared" si="144"/>
        <v>0</v>
      </c>
      <c r="E353" s="95"/>
      <c r="F353" s="95"/>
      <c r="G353" s="95"/>
      <c r="H353" s="95"/>
      <c r="I353" s="95"/>
      <c r="J353" s="95"/>
      <c r="K353" s="99"/>
    </row>
    <row r="354" spans="1:13" ht="28.5">
      <c r="A354" s="44" t="s">
        <v>186</v>
      </c>
      <c r="B354" s="148" t="s">
        <v>187</v>
      </c>
      <c r="C354" s="173">
        <f t="shared" si="144"/>
        <v>20447740</v>
      </c>
      <c r="D354" s="103">
        <f t="shared" si="144"/>
        <v>18768795</v>
      </c>
      <c r="E354" s="95">
        <f>18091090+176650+368000+1812000</f>
        <v>20447740</v>
      </c>
      <c r="F354" s="95">
        <f>18216795+550000+2000</f>
        <v>18768795</v>
      </c>
      <c r="G354" s="95">
        <f>17784749+168302</f>
        <v>17953051</v>
      </c>
      <c r="H354" s="95">
        <f>G354</f>
        <v>17953051</v>
      </c>
      <c r="I354" s="95">
        <f>H354</f>
        <v>17953051</v>
      </c>
      <c r="J354" s="95"/>
      <c r="K354" s="99">
        <f>5995463+172349+241192+1948</f>
        <v>6410952</v>
      </c>
      <c r="L354" s="9"/>
      <c r="M354" s="9"/>
    </row>
    <row r="355" spans="1:13" ht="30">
      <c r="A355" s="36" t="s">
        <v>188</v>
      </c>
      <c r="B355" s="146" t="s">
        <v>189</v>
      </c>
      <c r="C355" s="128">
        <f>C356+C357+C360+C361</f>
        <v>0</v>
      </c>
      <c r="D355" s="128">
        <f>D356+D357+D360+D361</f>
        <v>0</v>
      </c>
      <c r="E355" s="83">
        <f>E356+E357+E360+E361</f>
        <v>0</v>
      </c>
      <c r="F355" s="83">
        <f t="shared" ref="F355:K355" si="145">F356+F357+F360+F361</f>
        <v>0</v>
      </c>
      <c r="G355" s="83">
        <f t="shared" si="145"/>
        <v>0</v>
      </c>
      <c r="H355" s="83">
        <f t="shared" si="145"/>
        <v>0</v>
      </c>
      <c r="I355" s="83">
        <f t="shared" si="145"/>
        <v>0</v>
      </c>
      <c r="J355" s="83">
        <f t="shared" si="145"/>
        <v>0</v>
      </c>
      <c r="K355" s="83">
        <f t="shared" si="145"/>
        <v>17293</v>
      </c>
    </row>
    <row r="356" spans="1:13" ht="14.25" hidden="1">
      <c r="A356" s="44" t="s">
        <v>190</v>
      </c>
      <c r="B356" s="149" t="s">
        <v>191</v>
      </c>
      <c r="C356" s="49">
        <f>E356</f>
        <v>0</v>
      </c>
      <c r="D356" s="103">
        <f>F356</f>
        <v>0</v>
      </c>
      <c r="E356" s="88">
        <v>0</v>
      </c>
      <c r="F356" s="88">
        <v>0</v>
      </c>
      <c r="G356" s="88">
        <v>0</v>
      </c>
      <c r="H356" s="88">
        <f>G356</f>
        <v>0</v>
      </c>
      <c r="I356" s="88">
        <f>G356</f>
        <v>0</v>
      </c>
      <c r="J356" s="13">
        <f>G356-I356</f>
        <v>0</v>
      </c>
      <c r="K356" s="89"/>
    </row>
    <row r="357" spans="1:13" ht="28.5" hidden="1">
      <c r="A357" s="56" t="s">
        <v>311</v>
      </c>
      <c r="B357" s="147" t="s">
        <v>193</v>
      </c>
      <c r="C357" s="41"/>
      <c r="D357" s="85">
        <f>D358+D359</f>
        <v>0</v>
      </c>
      <c r="E357" s="85">
        <f>E358+E359</f>
        <v>0</v>
      </c>
      <c r="F357" s="85">
        <f t="shared" ref="F357:K357" si="146">F358+F359</f>
        <v>0</v>
      </c>
      <c r="G357" s="85">
        <f t="shared" si="146"/>
        <v>0</v>
      </c>
      <c r="H357" s="85">
        <f t="shared" si="146"/>
        <v>0</v>
      </c>
      <c r="I357" s="85">
        <f t="shared" si="146"/>
        <v>0</v>
      </c>
      <c r="J357" s="85">
        <f t="shared" si="146"/>
        <v>0</v>
      </c>
      <c r="K357" s="86">
        <f t="shared" si="146"/>
        <v>0</v>
      </c>
    </row>
    <row r="358" spans="1:13" ht="14.25" hidden="1">
      <c r="A358" s="44" t="s">
        <v>194</v>
      </c>
      <c r="B358" s="148" t="s">
        <v>195</v>
      </c>
      <c r="C358" s="45"/>
      <c r="D358" s="103"/>
      <c r="E358" s="95"/>
      <c r="F358" s="95"/>
      <c r="G358" s="95"/>
      <c r="H358" s="95">
        <f>G358</f>
        <v>0</v>
      </c>
      <c r="I358" s="95"/>
      <c r="J358" s="95">
        <f>G358-I358</f>
        <v>0</v>
      </c>
      <c r="K358" s="99"/>
    </row>
    <row r="359" spans="1:13" ht="28.5" hidden="1">
      <c r="A359" s="44" t="s">
        <v>196</v>
      </c>
      <c r="B359" s="148" t="s">
        <v>197</v>
      </c>
      <c r="C359" s="45"/>
      <c r="D359" s="103"/>
      <c r="E359" s="95"/>
      <c r="F359" s="95"/>
      <c r="G359" s="95"/>
      <c r="H359" s="95">
        <f>G359</f>
        <v>0</v>
      </c>
      <c r="I359" s="95"/>
      <c r="J359" s="95">
        <f>G359-I359</f>
        <v>0</v>
      </c>
      <c r="K359" s="99"/>
    </row>
    <row r="360" spans="1:13" ht="14.25" hidden="1">
      <c r="A360" s="44" t="s">
        <v>198</v>
      </c>
      <c r="B360" s="148" t="s">
        <v>199</v>
      </c>
      <c r="C360" s="45"/>
      <c r="D360" s="95"/>
      <c r="E360" s="95"/>
      <c r="F360" s="95"/>
      <c r="G360" s="95"/>
      <c r="H360" s="95">
        <f>G360</f>
        <v>0</v>
      </c>
      <c r="I360" s="95"/>
      <c r="J360" s="95">
        <f>G360-I360</f>
        <v>0</v>
      </c>
      <c r="K360" s="99"/>
    </row>
    <row r="361" spans="1:13" ht="28.5">
      <c r="A361" s="44" t="s">
        <v>200</v>
      </c>
      <c r="B361" s="148" t="s">
        <v>201</v>
      </c>
      <c r="C361" s="127">
        <f>E361</f>
        <v>0</v>
      </c>
      <c r="D361" s="95">
        <f>F361</f>
        <v>0</v>
      </c>
      <c r="E361" s="95"/>
      <c r="F361" s="95"/>
      <c r="G361" s="95"/>
      <c r="H361" s="95"/>
      <c r="I361" s="95"/>
      <c r="J361" s="95"/>
      <c r="K361" s="99">
        <f>4002+13291</f>
        <v>17293</v>
      </c>
    </row>
    <row r="362" spans="1:13" ht="30">
      <c r="A362" s="32" t="s">
        <v>312</v>
      </c>
      <c r="B362" s="145" t="s">
        <v>203</v>
      </c>
      <c r="C362" s="82">
        <f>C363+C369+C373+C378+C386</f>
        <v>77592950</v>
      </c>
      <c r="D362" s="82">
        <f>D363+D369+D373+D378+D386</f>
        <v>92004960</v>
      </c>
      <c r="E362" s="82">
        <f>E363+E369+E373+E378+E386</f>
        <v>77592950</v>
      </c>
      <c r="F362" s="82">
        <f t="shared" ref="F362:K362" si="147">F363+F369+F373+F378+F386</f>
        <v>92004960</v>
      </c>
      <c r="G362" s="82">
        <f t="shared" si="147"/>
        <v>85942429</v>
      </c>
      <c r="H362" s="82">
        <f t="shared" si="147"/>
        <v>85942429</v>
      </c>
      <c r="I362" s="82">
        <f t="shared" si="147"/>
        <v>85942429</v>
      </c>
      <c r="J362" s="82">
        <f>J363+J369+J373+J378+J386</f>
        <v>0</v>
      </c>
      <c r="K362" s="98">
        <f t="shared" si="147"/>
        <v>30876411</v>
      </c>
    </row>
    <row r="363" spans="1:13" ht="30" hidden="1">
      <c r="A363" s="36" t="s">
        <v>204</v>
      </c>
      <c r="B363" s="146" t="s">
        <v>205</v>
      </c>
      <c r="C363" s="37"/>
      <c r="D363" s="83">
        <f>D364</f>
        <v>0</v>
      </c>
      <c r="E363" s="83">
        <f>E364</f>
        <v>0</v>
      </c>
      <c r="F363" s="83">
        <f t="shared" ref="F363:K363" si="148">F364</f>
        <v>0</v>
      </c>
      <c r="G363" s="83">
        <f t="shared" si="148"/>
        <v>0</v>
      </c>
      <c r="H363" s="83">
        <f t="shared" si="148"/>
        <v>0</v>
      </c>
      <c r="I363" s="83">
        <f t="shared" si="148"/>
        <v>0</v>
      </c>
      <c r="J363" s="83">
        <f t="shared" si="148"/>
        <v>0</v>
      </c>
      <c r="K363" s="84">
        <f t="shared" si="148"/>
        <v>0</v>
      </c>
    </row>
    <row r="364" spans="1:13" ht="42.75" hidden="1">
      <c r="A364" s="56" t="s">
        <v>289</v>
      </c>
      <c r="B364" s="147" t="s">
        <v>207</v>
      </c>
      <c r="C364" s="41"/>
      <c r="D364" s="85">
        <f>D365+D366+D367+D368</f>
        <v>0</v>
      </c>
      <c r="E364" s="85">
        <f>E365+E366+E367+E368</f>
        <v>0</v>
      </c>
      <c r="F364" s="85">
        <f t="shared" ref="F364:K364" si="149">F365+F366+F367+F368</f>
        <v>0</v>
      </c>
      <c r="G364" s="85">
        <f t="shared" si="149"/>
        <v>0</v>
      </c>
      <c r="H364" s="85">
        <f t="shared" si="149"/>
        <v>0</v>
      </c>
      <c r="I364" s="85">
        <f t="shared" si="149"/>
        <v>0</v>
      </c>
      <c r="J364" s="85">
        <f>J365+J366+J367+J368</f>
        <v>0</v>
      </c>
      <c r="K364" s="86">
        <f t="shared" si="149"/>
        <v>0</v>
      </c>
    </row>
    <row r="365" spans="1:13" ht="28.5" hidden="1">
      <c r="A365" s="44" t="s">
        <v>208</v>
      </c>
      <c r="B365" s="148" t="s">
        <v>209</v>
      </c>
      <c r="C365" s="45"/>
      <c r="D365" s="103"/>
      <c r="E365" s="95"/>
      <c r="F365" s="95"/>
      <c r="G365" s="95"/>
      <c r="H365" s="105"/>
      <c r="I365" s="105"/>
      <c r="J365" s="105">
        <f>G365-I365</f>
        <v>0</v>
      </c>
      <c r="K365" s="99"/>
    </row>
    <row r="366" spans="1:13" ht="14.25" hidden="1">
      <c r="A366" s="44" t="s">
        <v>210</v>
      </c>
      <c r="B366" s="148" t="s">
        <v>211</v>
      </c>
      <c r="C366" s="45"/>
      <c r="D366" s="103"/>
      <c r="E366" s="95"/>
      <c r="F366" s="95"/>
      <c r="G366" s="95"/>
      <c r="H366" s="105"/>
      <c r="I366" s="105"/>
      <c r="J366" s="105">
        <f>G366-I366</f>
        <v>0</v>
      </c>
      <c r="K366" s="99"/>
    </row>
    <row r="367" spans="1:13" ht="28.5" hidden="1">
      <c r="A367" s="44" t="s">
        <v>212</v>
      </c>
      <c r="B367" s="148" t="s">
        <v>213</v>
      </c>
      <c r="C367" s="45"/>
      <c r="D367" s="103"/>
      <c r="E367" s="95"/>
      <c r="F367" s="95"/>
      <c r="G367" s="95"/>
      <c r="H367" s="105"/>
      <c r="I367" s="105"/>
      <c r="J367" s="105">
        <f>G367-I367</f>
        <v>0</v>
      </c>
      <c r="K367" s="99"/>
    </row>
    <row r="368" spans="1:13" ht="28.5" hidden="1">
      <c r="A368" s="44" t="s">
        <v>214</v>
      </c>
      <c r="B368" s="148" t="s">
        <v>215</v>
      </c>
      <c r="C368" s="45"/>
      <c r="D368" s="103"/>
      <c r="E368" s="95"/>
      <c r="F368" s="95"/>
      <c r="G368" s="95"/>
      <c r="H368" s="105"/>
      <c r="I368" s="105"/>
      <c r="J368" s="105">
        <f>G368-I368</f>
        <v>0</v>
      </c>
      <c r="K368" s="99"/>
    </row>
    <row r="369" spans="1:11" ht="30" hidden="1">
      <c r="A369" s="36" t="s">
        <v>313</v>
      </c>
      <c r="B369" s="146" t="s">
        <v>217</v>
      </c>
      <c r="C369" s="37"/>
      <c r="D369" s="83">
        <f>D370+D371+D372</f>
        <v>0</v>
      </c>
      <c r="E369" s="83">
        <f>E370+E371+E372</f>
        <v>0</v>
      </c>
      <c r="F369" s="83">
        <f t="shared" ref="F369:K369" si="150">F370+F371+F372</f>
        <v>0</v>
      </c>
      <c r="G369" s="83">
        <f t="shared" si="150"/>
        <v>0</v>
      </c>
      <c r="H369" s="83">
        <f t="shared" si="150"/>
        <v>0</v>
      </c>
      <c r="I369" s="83">
        <f t="shared" si="150"/>
        <v>0</v>
      </c>
      <c r="J369" s="83">
        <f t="shared" si="150"/>
        <v>0</v>
      </c>
      <c r="K369" s="84">
        <f t="shared" si="150"/>
        <v>0</v>
      </c>
    </row>
    <row r="370" spans="1:11" ht="14.25" hidden="1">
      <c r="A370" s="44" t="s">
        <v>218</v>
      </c>
      <c r="B370" s="149" t="s">
        <v>219</v>
      </c>
      <c r="C370" s="55"/>
      <c r="D370" s="103"/>
      <c r="E370" s="95"/>
      <c r="F370" s="95"/>
      <c r="G370" s="95"/>
      <c r="H370" s="132"/>
      <c r="I370" s="95"/>
      <c r="J370" s="95">
        <f>G370-I370</f>
        <v>0</v>
      </c>
      <c r="K370" s="99"/>
    </row>
    <row r="371" spans="1:11" ht="14.25" hidden="1">
      <c r="A371" s="44" t="s">
        <v>220</v>
      </c>
      <c r="B371" s="148" t="s">
        <v>221</v>
      </c>
      <c r="C371" s="45"/>
      <c r="D371" s="103"/>
      <c r="E371" s="95"/>
      <c r="F371" s="95"/>
      <c r="G371" s="95"/>
      <c r="H371" s="132"/>
      <c r="I371" s="95"/>
      <c r="J371" s="95">
        <f>G371-I371</f>
        <v>0</v>
      </c>
      <c r="K371" s="99"/>
    </row>
    <row r="372" spans="1:11" ht="28.5" hidden="1">
      <c r="A372" s="44" t="s">
        <v>222</v>
      </c>
      <c r="B372" s="148" t="s">
        <v>223</v>
      </c>
      <c r="C372" s="45"/>
      <c r="D372" s="103"/>
      <c r="E372" s="95"/>
      <c r="F372" s="95"/>
      <c r="G372" s="95"/>
      <c r="H372" s="132"/>
      <c r="I372" s="95"/>
      <c r="J372" s="95">
        <f>G372-I372</f>
        <v>0</v>
      </c>
      <c r="K372" s="99"/>
    </row>
    <row r="373" spans="1:11" ht="30" hidden="1">
      <c r="A373" s="36" t="s">
        <v>314</v>
      </c>
      <c r="B373" s="146" t="s">
        <v>225</v>
      </c>
      <c r="C373" s="37"/>
      <c r="D373" s="83">
        <f>D374</f>
        <v>0</v>
      </c>
      <c r="E373" s="83">
        <f>E374</f>
        <v>0</v>
      </c>
      <c r="F373" s="83">
        <f t="shared" ref="F373:K373" si="151">F374</f>
        <v>0</v>
      </c>
      <c r="G373" s="83">
        <f t="shared" si="151"/>
        <v>0</v>
      </c>
      <c r="H373" s="83">
        <f t="shared" si="151"/>
        <v>0</v>
      </c>
      <c r="I373" s="83">
        <f t="shared" si="151"/>
        <v>0</v>
      </c>
      <c r="J373" s="83">
        <f t="shared" si="151"/>
        <v>0</v>
      </c>
      <c r="K373" s="84">
        <f t="shared" si="151"/>
        <v>0</v>
      </c>
    </row>
    <row r="374" spans="1:11" ht="28.5" hidden="1">
      <c r="A374" s="56" t="s">
        <v>226</v>
      </c>
      <c r="B374" s="147" t="s">
        <v>227</v>
      </c>
      <c r="C374" s="41"/>
      <c r="D374" s="85">
        <f>D375+D376+D377</f>
        <v>0</v>
      </c>
      <c r="E374" s="85">
        <f>E375+E376+E377</f>
        <v>0</v>
      </c>
      <c r="F374" s="85">
        <f t="shared" ref="F374:K374" si="152">F375+F376+F377</f>
        <v>0</v>
      </c>
      <c r="G374" s="85">
        <f t="shared" si="152"/>
        <v>0</v>
      </c>
      <c r="H374" s="85">
        <f t="shared" si="152"/>
        <v>0</v>
      </c>
      <c r="I374" s="85">
        <f t="shared" si="152"/>
        <v>0</v>
      </c>
      <c r="J374" s="85">
        <f>J375+J376+J377</f>
        <v>0</v>
      </c>
      <c r="K374" s="86">
        <f t="shared" si="152"/>
        <v>0</v>
      </c>
    </row>
    <row r="375" spans="1:11" ht="28.5" hidden="1">
      <c r="A375" s="44" t="s">
        <v>228</v>
      </c>
      <c r="B375" s="149" t="s">
        <v>229</v>
      </c>
      <c r="C375" s="55"/>
      <c r="D375" s="103"/>
      <c r="E375" s="95"/>
      <c r="F375" s="95"/>
      <c r="G375" s="95"/>
      <c r="H375" s="103">
        <f>G375</f>
        <v>0</v>
      </c>
      <c r="I375" s="95"/>
      <c r="J375" s="95">
        <f>G375-I375</f>
        <v>0</v>
      </c>
      <c r="K375" s="99"/>
    </row>
    <row r="376" spans="1:11" ht="14.25" hidden="1">
      <c r="A376" s="44" t="s">
        <v>230</v>
      </c>
      <c r="B376" s="149" t="s">
        <v>231</v>
      </c>
      <c r="C376" s="55"/>
      <c r="D376" s="103"/>
      <c r="E376" s="95"/>
      <c r="F376" s="95"/>
      <c r="G376" s="95"/>
      <c r="H376" s="103">
        <f>G376</f>
        <v>0</v>
      </c>
      <c r="I376" s="95"/>
      <c r="J376" s="95">
        <f>G376-I376</f>
        <v>0</v>
      </c>
      <c r="K376" s="99"/>
    </row>
    <row r="377" spans="1:11" ht="14.25" hidden="1">
      <c r="A377" s="44" t="s">
        <v>232</v>
      </c>
      <c r="B377" s="148" t="s">
        <v>233</v>
      </c>
      <c r="C377" s="45"/>
      <c r="D377" s="103"/>
      <c r="E377" s="95"/>
      <c r="F377" s="114"/>
      <c r="G377" s="95"/>
      <c r="H377" s="103">
        <f>G377</f>
        <v>0</v>
      </c>
      <c r="I377" s="95"/>
      <c r="J377" s="95">
        <f>G377-I377</f>
        <v>0</v>
      </c>
      <c r="K377" s="99"/>
    </row>
    <row r="378" spans="1:11" ht="30">
      <c r="A378" s="36" t="s">
        <v>234</v>
      </c>
      <c r="B378" s="146" t="s">
        <v>235</v>
      </c>
      <c r="C378" s="83">
        <f t="shared" ref="C378:K378" si="153">C379+C383+C385</f>
        <v>77592950</v>
      </c>
      <c r="D378" s="83">
        <f t="shared" si="153"/>
        <v>92004960</v>
      </c>
      <c r="E378" s="83">
        <f t="shared" si="153"/>
        <v>77592950</v>
      </c>
      <c r="F378" s="83">
        <f t="shared" si="153"/>
        <v>92004960</v>
      </c>
      <c r="G378" s="83">
        <f t="shared" si="153"/>
        <v>85942429</v>
      </c>
      <c r="H378" s="83">
        <f t="shared" si="153"/>
        <v>85942429</v>
      </c>
      <c r="I378" s="83">
        <f t="shared" si="153"/>
        <v>85942429</v>
      </c>
      <c r="J378" s="83">
        <f>J379+J383+J385</f>
        <v>0</v>
      </c>
      <c r="K378" s="84">
        <f t="shared" si="153"/>
        <v>30876411</v>
      </c>
    </row>
    <row r="379" spans="1:11" ht="28.5">
      <c r="A379" s="56" t="s">
        <v>236</v>
      </c>
      <c r="B379" s="147" t="s">
        <v>237</v>
      </c>
      <c r="C379" s="85">
        <f t="shared" ref="C379:K379" si="154">C380+C381+C382</f>
        <v>75118100</v>
      </c>
      <c r="D379" s="85">
        <f t="shared" si="154"/>
        <v>89534310</v>
      </c>
      <c r="E379" s="85">
        <f t="shared" si="154"/>
        <v>75118100</v>
      </c>
      <c r="F379" s="85">
        <f t="shared" si="154"/>
        <v>89534310</v>
      </c>
      <c r="G379" s="85">
        <f t="shared" si="154"/>
        <v>83889224</v>
      </c>
      <c r="H379" s="85">
        <f t="shared" si="154"/>
        <v>83889224</v>
      </c>
      <c r="I379" s="85">
        <f t="shared" si="154"/>
        <v>83889224</v>
      </c>
      <c r="J379" s="85">
        <f>J380+J381+J382</f>
        <v>0</v>
      </c>
      <c r="K379" s="86">
        <f t="shared" si="154"/>
        <v>30363978</v>
      </c>
    </row>
    <row r="380" spans="1:11" ht="15.95" customHeight="1">
      <c r="A380" s="44" t="s">
        <v>238</v>
      </c>
      <c r="B380" s="148" t="s">
        <v>239</v>
      </c>
      <c r="C380" s="173">
        <f t="shared" ref="C380:D382" si="155">E380</f>
        <v>22275100</v>
      </c>
      <c r="D380" s="103">
        <f t="shared" si="155"/>
        <v>20842100</v>
      </c>
      <c r="E380" s="95">
        <f>1405100+20870000</f>
        <v>22275100</v>
      </c>
      <c r="F380" s="95">
        <f>19437000+1405100</f>
        <v>20842100</v>
      </c>
      <c r="G380" s="95">
        <f>17432105+513</f>
        <v>17432618</v>
      </c>
      <c r="H380" s="95">
        <f>17432105+513</f>
        <v>17432618</v>
      </c>
      <c r="I380" s="95">
        <f>17432105+513</f>
        <v>17432618</v>
      </c>
      <c r="J380" s="138">
        <f>G380-I380</f>
        <v>0</v>
      </c>
      <c r="K380" s="99"/>
    </row>
    <row r="381" spans="1:11" ht="15.95" customHeight="1">
      <c r="A381" s="44" t="s">
        <v>240</v>
      </c>
      <c r="B381" s="148" t="s">
        <v>241</v>
      </c>
      <c r="C381" s="173">
        <f>E381</f>
        <v>43816000</v>
      </c>
      <c r="D381" s="173">
        <f>F381</f>
        <v>58818210</v>
      </c>
      <c r="E381" s="95">
        <f>172000+43644000</f>
        <v>43816000</v>
      </c>
      <c r="F381" s="95">
        <f>171000+3210+58644000</f>
        <v>58818210</v>
      </c>
      <c r="G381" s="95">
        <f>170698+605+56526664</f>
        <v>56697967</v>
      </c>
      <c r="H381" s="95">
        <f>170698+605+56526664</f>
        <v>56697967</v>
      </c>
      <c r="I381" s="95">
        <f>170698+605+56526664</f>
        <v>56697967</v>
      </c>
      <c r="J381" s="138">
        <f>G381-I381</f>
        <v>0</v>
      </c>
      <c r="K381" s="99">
        <f>3660909+605+5030850+2002428+3371964</f>
        <v>14066756</v>
      </c>
    </row>
    <row r="382" spans="1:11" ht="15.95" customHeight="1">
      <c r="A382" s="44" t="s">
        <v>242</v>
      </c>
      <c r="B382" s="148" t="s">
        <v>243</v>
      </c>
      <c r="C382" s="173">
        <f t="shared" si="155"/>
        <v>9027000</v>
      </c>
      <c r="D382" s="173">
        <f t="shared" si="155"/>
        <v>9874000</v>
      </c>
      <c r="E382" s="95">
        <v>9027000</v>
      </c>
      <c r="F382" s="95">
        <v>9874000</v>
      </c>
      <c r="G382" s="95">
        <v>9758639</v>
      </c>
      <c r="H382" s="95">
        <f>G382</f>
        <v>9758639</v>
      </c>
      <c r="I382" s="95">
        <v>9758639</v>
      </c>
      <c r="J382" s="138">
        <f>G382-I382</f>
        <v>0</v>
      </c>
      <c r="K382" s="99">
        <v>16297222</v>
      </c>
    </row>
    <row r="383" spans="1:11" ht="14.25" hidden="1">
      <c r="A383" s="133" t="s">
        <v>244</v>
      </c>
      <c r="B383" s="147" t="s">
        <v>245</v>
      </c>
      <c r="C383" s="179"/>
      <c r="D383" s="172">
        <f>D384</f>
        <v>0</v>
      </c>
      <c r="E383" s="172">
        <f>E384</f>
        <v>0</v>
      </c>
      <c r="F383" s="172">
        <f t="shared" ref="F383:K383" si="156">F384</f>
        <v>0</v>
      </c>
      <c r="G383" s="172">
        <f t="shared" si="156"/>
        <v>0</v>
      </c>
      <c r="H383" s="172">
        <f t="shared" si="156"/>
        <v>0</v>
      </c>
      <c r="I383" s="172">
        <f t="shared" si="156"/>
        <v>0</v>
      </c>
      <c r="J383" s="172">
        <f t="shared" si="156"/>
        <v>0</v>
      </c>
      <c r="K383" s="178">
        <f t="shared" si="156"/>
        <v>0</v>
      </c>
    </row>
    <row r="384" spans="1:11" ht="14.25" hidden="1">
      <c r="A384" s="44" t="s">
        <v>246</v>
      </c>
      <c r="B384" s="148" t="s">
        <v>247</v>
      </c>
      <c r="C384" s="177"/>
      <c r="D384" s="103"/>
      <c r="E384" s="95"/>
      <c r="F384" s="95"/>
      <c r="G384" s="95"/>
      <c r="H384" s="103">
        <f>G384</f>
        <v>0</v>
      </c>
      <c r="I384" s="95"/>
      <c r="J384" s="95">
        <f>G384-I384</f>
        <v>0</v>
      </c>
      <c r="K384" s="99"/>
    </row>
    <row r="385" spans="1:11" ht="17.100000000000001" customHeight="1">
      <c r="A385" s="44" t="s">
        <v>248</v>
      </c>
      <c r="B385" s="148" t="s">
        <v>249</v>
      </c>
      <c r="C385" s="173">
        <f>E385</f>
        <v>2474850</v>
      </c>
      <c r="D385" s="173">
        <f>F385</f>
        <v>2470650</v>
      </c>
      <c r="E385" s="95">
        <v>2474850</v>
      </c>
      <c r="F385" s="95">
        <v>2470650</v>
      </c>
      <c r="G385" s="95">
        <v>2053205</v>
      </c>
      <c r="H385" s="95">
        <f>G385</f>
        <v>2053205</v>
      </c>
      <c r="I385" s="95">
        <f>H385</f>
        <v>2053205</v>
      </c>
      <c r="J385" s="138">
        <f>H385-I385</f>
        <v>0</v>
      </c>
      <c r="K385" s="99">
        <v>512433</v>
      </c>
    </row>
    <row r="386" spans="1:11" ht="45" hidden="1">
      <c r="A386" s="36" t="s">
        <v>315</v>
      </c>
      <c r="B386" s="146" t="s">
        <v>251</v>
      </c>
      <c r="C386" s="37"/>
      <c r="D386" s="83">
        <f t="shared" ref="D386:K386" si="157">D387+D388+D389+D390+D391</f>
        <v>0</v>
      </c>
      <c r="E386" s="83">
        <f t="shared" si="157"/>
        <v>0</v>
      </c>
      <c r="F386" s="83">
        <f t="shared" si="157"/>
        <v>0</v>
      </c>
      <c r="G386" s="83">
        <f t="shared" si="157"/>
        <v>0</v>
      </c>
      <c r="H386" s="83">
        <f t="shared" si="157"/>
        <v>0</v>
      </c>
      <c r="I386" s="83">
        <f t="shared" si="157"/>
        <v>0</v>
      </c>
      <c r="J386" s="83">
        <f t="shared" si="157"/>
        <v>0</v>
      </c>
      <c r="K386" s="84">
        <f t="shared" si="157"/>
        <v>0</v>
      </c>
    </row>
    <row r="387" spans="1:11" ht="14.25" hidden="1">
      <c r="A387" s="44" t="s">
        <v>252</v>
      </c>
      <c r="B387" s="148" t="s">
        <v>253</v>
      </c>
      <c r="C387" s="45"/>
      <c r="D387" s="103"/>
      <c r="E387" s="95"/>
      <c r="F387" s="114"/>
      <c r="G387" s="95"/>
      <c r="H387" s="103"/>
      <c r="I387" s="95"/>
      <c r="J387" s="95">
        <f>G387-I387</f>
        <v>0</v>
      </c>
      <c r="K387" s="99"/>
    </row>
    <row r="388" spans="1:11" ht="14.25" hidden="1">
      <c r="A388" s="44" t="s">
        <v>254</v>
      </c>
      <c r="B388" s="148" t="s">
        <v>255</v>
      </c>
      <c r="C388" s="45"/>
      <c r="D388" s="103"/>
      <c r="E388" s="95"/>
      <c r="F388" s="114"/>
      <c r="G388" s="95"/>
      <c r="H388" s="103"/>
      <c r="I388" s="95"/>
      <c r="J388" s="95">
        <f>G388-I388</f>
        <v>0</v>
      </c>
      <c r="K388" s="99"/>
    </row>
    <row r="389" spans="1:11" ht="14.25" hidden="1">
      <c r="A389" s="44" t="s">
        <v>256</v>
      </c>
      <c r="B389" s="148" t="s">
        <v>257</v>
      </c>
      <c r="C389" s="45"/>
      <c r="D389" s="103"/>
      <c r="E389" s="95"/>
      <c r="F389" s="114"/>
      <c r="G389" s="95"/>
      <c r="H389" s="103"/>
      <c r="I389" s="95"/>
      <c r="J389" s="95">
        <f>G389-I389</f>
        <v>0</v>
      </c>
      <c r="K389" s="99"/>
    </row>
    <row r="390" spans="1:11" ht="14.25" hidden="1">
      <c r="A390" s="44" t="s">
        <v>294</v>
      </c>
      <c r="B390" s="148" t="s">
        <v>259</v>
      </c>
      <c r="C390" s="45"/>
      <c r="D390" s="103"/>
      <c r="E390" s="95"/>
      <c r="F390" s="95"/>
      <c r="G390" s="95"/>
      <c r="H390" s="103"/>
      <c r="I390" s="95"/>
      <c r="J390" s="95">
        <f>G390-I390</f>
        <v>0</v>
      </c>
      <c r="K390" s="99"/>
    </row>
    <row r="391" spans="1:11" ht="14.25" hidden="1">
      <c r="A391" s="44" t="s">
        <v>260</v>
      </c>
      <c r="B391" s="148" t="s">
        <v>261</v>
      </c>
      <c r="C391" s="45"/>
      <c r="D391" s="103"/>
      <c r="E391" s="95"/>
      <c r="F391" s="114"/>
      <c r="G391" s="95"/>
      <c r="H391" s="103"/>
      <c r="I391" s="95"/>
      <c r="J391" s="95">
        <f>G391-I391</f>
        <v>0</v>
      </c>
      <c r="K391" s="99"/>
    </row>
    <row r="392" spans="1:11" ht="30" hidden="1">
      <c r="A392" s="32" t="s">
        <v>295</v>
      </c>
      <c r="B392" s="145" t="s">
        <v>263</v>
      </c>
      <c r="C392" s="33"/>
      <c r="D392" s="134"/>
      <c r="E392" s="135"/>
      <c r="F392" s="135"/>
      <c r="G392" s="135"/>
      <c r="H392" s="134"/>
      <c r="I392" s="135"/>
      <c r="J392" s="136"/>
      <c r="K392" s="137"/>
    </row>
    <row r="393" spans="1:11" ht="15" hidden="1">
      <c r="A393" s="70" t="s">
        <v>296</v>
      </c>
      <c r="B393" s="152" t="s">
        <v>265</v>
      </c>
      <c r="C393" s="71"/>
      <c r="D393" s="105"/>
      <c r="E393" s="105"/>
      <c r="F393" s="105"/>
      <c r="G393" s="105"/>
      <c r="H393" s="103"/>
      <c r="I393" s="95"/>
      <c r="J393" s="138"/>
      <c r="K393" s="99"/>
    </row>
    <row r="394" spans="1:11" ht="18" hidden="1" thickBot="1">
      <c r="A394" s="118" t="s">
        <v>327</v>
      </c>
      <c r="B394" s="156" t="s">
        <v>266</v>
      </c>
      <c r="C394" s="119"/>
      <c r="D394" s="139"/>
      <c r="E394" s="139"/>
      <c r="F394" s="139"/>
      <c r="G394" s="139"/>
      <c r="H394" s="140"/>
      <c r="I394" s="141"/>
      <c r="J394" s="142"/>
      <c r="K394" s="143"/>
    </row>
    <row r="395" spans="1:11">
      <c r="B395" s="2"/>
      <c r="C395" s="2"/>
      <c r="D395" s="2"/>
      <c r="E395" s="2"/>
      <c r="F395" s="15"/>
      <c r="G395" s="2"/>
      <c r="H395" s="2"/>
      <c r="I395" s="2"/>
      <c r="J395" s="2"/>
      <c r="K395" s="2"/>
    </row>
    <row r="396" spans="1:11">
      <c r="A396" s="16"/>
      <c r="B396" s="17"/>
      <c r="C396" s="18" t="s">
        <v>316</v>
      </c>
      <c r="D396" s="2"/>
      <c r="E396" s="2"/>
      <c r="F396" s="3" t="s">
        <v>317</v>
      </c>
      <c r="G396" s="3"/>
      <c r="H396" s="3"/>
      <c r="I396" s="3"/>
      <c r="J396" s="185" t="s">
        <v>318</v>
      </c>
      <c r="K396" s="185"/>
    </row>
    <row r="397" spans="1:11">
      <c r="A397" s="19"/>
      <c r="B397" s="186" t="s">
        <v>319</v>
      </c>
      <c r="C397" s="186"/>
      <c r="D397" s="2"/>
      <c r="E397" s="2"/>
      <c r="F397" s="3" t="s">
        <v>320</v>
      </c>
      <c r="G397" s="20"/>
      <c r="H397" s="20"/>
      <c r="I397" s="20"/>
      <c r="J397" s="186" t="s">
        <v>321</v>
      </c>
      <c r="K397" s="186"/>
    </row>
    <row r="398" spans="1:11">
      <c r="B398" s="2"/>
      <c r="C398" s="2"/>
      <c r="D398" s="2"/>
      <c r="E398" s="2"/>
      <c r="F398" s="15"/>
      <c r="G398" s="2"/>
      <c r="H398" s="2"/>
      <c r="I398" s="2"/>
      <c r="J398" s="2"/>
      <c r="K398" s="2"/>
    </row>
  </sheetData>
  <mergeCells count="18">
    <mergeCell ref="J396:K396"/>
    <mergeCell ref="B397:C397"/>
    <mergeCell ref="J397:K397"/>
    <mergeCell ref="H8:H9"/>
    <mergeCell ref="I8:I9"/>
    <mergeCell ref="J8:J9"/>
    <mergeCell ref="K8:K9"/>
    <mergeCell ref="B8:B9"/>
    <mergeCell ref="C8:C9"/>
    <mergeCell ref="D8:D9"/>
    <mergeCell ref="E8:E9"/>
    <mergeCell ref="F8:F9"/>
    <mergeCell ref="G8:G9"/>
    <mergeCell ref="A1:B1"/>
    <mergeCell ref="A2:B2"/>
    <mergeCell ref="A4:K4"/>
    <mergeCell ref="B5:H5"/>
    <mergeCell ref="A8:A9"/>
  </mergeCells>
  <pageMargins left="0" right="0" top="0.32" bottom="0.32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NR.2</vt:lpstr>
      <vt:lpstr>'ANEXA NR.2'!Print_Area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Terezia Borbei</cp:lastModifiedBy>
  <cp:lastPrinted>2026-05-08T09:41:45Z</cp:lastPrinted>
  <dcterms:created xsi:type="dcterms:W3CDTF">2026-02-12T13:35:52Z</dcterms:created>
  <dcterms:modified xsi:type="dcterms:W3CDTF">2026-05-08T09:44:17Z</dcterms:modified>
</cp:coreProperties>
</file>