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1"/>
  </bookViews>
  <sheets>
    <sheet name="functionare" sheetId="1" r:id="rId1"/>
    <sheet name="dezvoltare" sheetId="2" r:id="rId2"/>
  </sheets>
  <definedNames>
    <definedName name="_xlnm.Print_Area" localSheetId="1">'dezvoltare'!$A$1:$L$169</definedName>
  </definedNames>
  <calcPr fullCalcOnLoad="1"/>
</workbook>
</file>

<file path=xl/sharedStrings.xml><?xml version="1.0" encoding="utf-8"?>
<sst xmlns="http://schemas.openxmlformats.org/spreadsheetml/2006/main" count="703" uniqueCount="287">
  <si>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</si>
  <si>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</si>
  <si>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</si>
  <si>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</si>
  <si>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</si>
  <si>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</si>
  <si>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</si>
  <si>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</si>
  <si>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</si>
  <si>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</si>
  <si>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</si>
  <si>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</si>
  <si>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</si>
  <si>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</si>
  <si>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</si>
  <si>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</si>
  <si>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</si>
  <si>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</si>
  <si>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</si>
  <si>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</si>
  <si>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</si>
  <si>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</si>
  <si>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</si>
  <si>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</si>
  <si>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</si>
  <si>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</si>
  <si>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CAP.66.02   SANATATE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</si>
  <si>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</si>
  <si>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</si>
  <si>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</si>
  <si>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</si>
  <si>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</si>
  <si>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</si>
  <si>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</si>
  <si>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</si>
  <si>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</si>
  <si>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</si>
  <si>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</si>
  <si>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</si>
  <si>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</si>
  <si>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</si>
  <si>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</si>
  <si>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</si>
  <si>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</si>
  <si>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</si>
  <si>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</si>
  <si>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</si>
  <si>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</si>
  <si>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</si>
  <si>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</si>
  <si>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</si>
  <si>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</si>
  <si>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</si>
  <si>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</si>
  <si>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</si>
  <si>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</si>
  <si>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</si>
  <si>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</si>
  <si>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</si>
  <si>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</si>
  <si>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</si>
  <si>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</si>
  <si>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</si>
  <si>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</si>
  <si>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</si>
  <si>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</si>
  <si>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</si>
  <si>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</si>
  <si>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</si>
  <si>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</si>
  <si>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</si>
  <si>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</si>
  <si>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</si>
  <si>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</si>
  <si>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</si>
  <si>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</si>
  <si>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</si>
  <si>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</si>
  <si>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</si>
  <si>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</si>
  <si>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</si>
  <si>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</si>
  <si>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</si>
  <si>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</si>
  <si>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</si>
  <si>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</si>
  <si>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</si>
  <si>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</si>
  <si>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</si>
  <si>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</si>
  <si>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</si>
  <si>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</si>
  <si>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</si>
  <si>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</si>
  <si>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</si>
  <si>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</si>
  <si>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</si>
  <si>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</si>
  <si>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</si>
  <si>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</si>
  <si>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</si>
  <si>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</si>
  <si>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</si>
  <si>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</si>
  <si>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</si>
  <si>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</si>
  <si>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</si>
  <si>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</si>
  <si>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</si>
  <si>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</si>
  <si>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</si>
  <si>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</si>
  <si>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</si>
  <si>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</si>
  <si>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</si>
  <si>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</si>
  <si>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</si>
  <si>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</si>
  <si>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</si>
  <si>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</si>
  <si>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</si>
  <si>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</si>
  <si>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</si>
  <si>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</si>
  <si>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</si>
  <si>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</si>
  <si>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</si>
  <si>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</si>
  <si>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</si>
  <si>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</si>
  <si>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</si>
  <si>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</si>
  <si>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</si>
  <si>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</si>
  <si>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</si>
  <si>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</si>
  <si>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</si>
  <si>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</si>
  <si>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</si>
  <si>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</si>
  <si>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</si>
  <si>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</si>
  <si>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</si>
  <si>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</si>
  <si>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</si>
  <si>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</si>
  <si>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</si>
  <si>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</si>
  <si>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</si>
  <si>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</si>
  <si>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</si>
  <si>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</si>
  <si>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</si>
  <si>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</si>
  <si>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</si>
  <si>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</si>
  <si>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</si>
  <si>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</si>
  <si>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</si>
  <si>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</si>
  <si>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</si>
  <si>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</si>
  <si>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</si>
  <si>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</si>
  <si>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</si>
  <si>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</si>
  <si>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</si>
  <si>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</si>
  <si>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</si>
  <si>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</si>
  <si>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</si>
  <si>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</si>
  <si>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</si>
  <si>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</si>
  <si>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</si>
  <si>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</si>
  <si>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</si>
  <si>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</si>
  <si>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</si>
  <si>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</si>
  <si>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</si>
  <si>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</si>
  <si>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</si>
  <si>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</si>
  <si>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</si>
  <si>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</si>
  <si>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ANEXA NR.2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</si>
  <si>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</si>
  <si>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</si>
  <si>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</si>
  <si>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</si>
  <si>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</si>
  <si>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</si>
  <si>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</si>
  <si>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</si>
  <si>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</si>
  <si>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</si>
  <si>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</si>
  <si>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</si>
  <si>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</si>
  <si>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</si>
  <si>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</si>
  <si>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</si>
  <si>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</si>
  <si>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</si>
  <si>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</si>
  <si>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</si>
  <si>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</si>
  <si>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</si>
  <si>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</si>
  <si>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</si>
  <si>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</si>
  <si>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corelatie
 functional</t>
  </si>
  <si>
    <t>Canalizarea si tratarea apelor reziduale</t>
  </si>
  <si>
    <t>74.02.06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</si>
  <si>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</si>
  <si>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</si>
  <si>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</si>
  <si>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</si>
  <si>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</si>
  <si>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</si>
  <si>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</si>
  <si>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</si>
  <si>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</si>
  <si>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</si>
  <si>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</si>
  <si>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</si>
  <si>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</si>
  <si>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</si>
  <si>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</si>
  <si>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</si>
  <si>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</si>
  <si>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</si>
  <si>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</si>
  <si>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</si>
  <si>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</si>
  <si>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</si>
  <si>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</si>
  <si>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</si>
  <si>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</si>
  <si>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</si>
  <si>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Secundar inferior</t>
  </si>
  <si>
    <t>Secundar superior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</si>
  <si>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</si>
  <si>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</si>
  <si>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</si>
  <si>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</si>
  <si>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</si>
  <si>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</si>
  <si>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</si>
  <si>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Asistenta acordata persoanelor in varsta</t>
  </si>
  <si>
    <t>68.02.04</t>
  </si>
  <si>
    <t>*cheltuieli de capital                                                           (70)</t>
  </si>
  <si>
    <t>*proiecte FEN  cadru financiar 2014 2020                             (58)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</si>
  <si>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</si>
  <si>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</si>
  <si>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</si>
  <si>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</si>
  <si>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</si>
  <si>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</si>
  <si>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Alte cheltuieli (59)( cabinete scolare)</t>
  </si>
  <si>
    <t>Servicii  de sănătate publică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</si>
  <si>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</si>
  <si>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</si>
  <si>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</si>
  <si>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</si>
  <si>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</si>
  <si>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Învățământ gimnazial</t>
  </si>
  <si>
    <t>Învățământ liceal</t>
  </si>
  <si>
    <t>Alte cheltuieli în domeniul învățământului</t>
  </si>
  <si>
    <t>*proiecte FEN  cadru financiar 2014 - 2020                           (58)</t>
  </si>
  <si>
    <t>Alte cheltuieli (59) , din care: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</si>
  <si>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</si>
  <si>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</si>
  <si>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</si>
  <si>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</si>
  <si>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</si>
  <si>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</si>
  <si>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>Antepreșcolar</t>
  </si>
  <si>
    <t>Preșcolar</t>
  </si>
  <si>
    <t xml:space="preserve">Total </t>
  </si>
  <si>
    <t>PRIMĂRIA MUNICIPIULUI SATU MARE</t>
  </si>
  <si>
    <t>CHELTUIELI       -      la 30 SEPTEMBRIE 2022</t>
  </si>
  <si>
    <t>CHELTUIELI      -  la 30 SEPTEMBRIE 2022</t>
  </si>
  <si>
    <t>ANEXA NR.2.1 la hcl 382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</si>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</sst>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3" fontId="2" fillId="20" borderId="25" xfId="0" applyNumberFormat="1" applyFont="1" applyFill="1" applyBorder="1" applyAlignment="1">
      <alignment/>
    </xf>
    <xf numFmtId="0" fontId="32" fillId="0" borderId="26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3" fontId="2" fillId="7" borderId="28" xfId="0" applyNumberFormat="1" applyFont="1" applyFill="1" applyBorder="1" applyAlignment="1">
      <alignment horizontal="right"/>
    </xf>
    <xf numFmtId="3" fontId="2" fillId="7" borderId="29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30" xfId="0" applyFont="1" applyFill="1" applyBorder="1" applyAlignment="1">
      <alignment horizontal="center" wrapText="1"/>
    </xf>
    <xf numFmtId="3" fontId="2" fillId="7" borderId="31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1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6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3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24" borderId="35" xfId="0" applyFont="1" applyFill="1" applyBorder="1" applyAlignment="1">
      <alignment horizontal="right"/>
    </xf>
    <xf numFmtId="3" fontId="2" fillId="24" borderId="26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7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25" xfId="0" applyFont="1" applyFill="1" applyBorder="1" applyAlignment="1">
      <alignment horizontal="center"/>
    </xf>
    <xf numFmtId="3" fontId="2" fillId="24" borderId="25" xfId="0" applyNumberFormat="1" applyFont="1" applyFill="1" applyBorder="1" applyAlignment="1">
      <alignment/>
    </xf>
    <xf numFmtId="3" fontId="33" fillId="24" borderId="25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8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6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6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1" xfId="0" applyNumberFormat="1" applyFont="1" applyFill="1" applyBorder="1" applyAlignment="1">
      <alignment/>
    </xf>
    <xf numFmtId="0" fontId="22" fillId="4" borderId="39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27" xfId="0" applyFont="1" applyFill="1" applyBorder="1" applyAlignment="1">
      <alignment horizontal="right"/>
    </xf>
    <xf numFmtId="0" fontId="28" fillId="24" borderId="28" xfId="0" applyFont="1" applyFill="1" applyBorder="1" applyAlignment="1">
      <alignment horizontal="right"/>
    </xf>
    <xf numFmtId="3" fontId="24" fillId="24" borderId="28" xfId="0" applyNumberFormat="1" applyFont="1" applyFill="1" applyBorder="1" applyAlignment="1">
      <alignment/>
    </xf>
    <xf numFmtId="3" fontId="24" fillId="24" borderId="40" xfId="0" applyNumberFormat="1" applyFont="1" applyFill="1" applyBorder="1" applyAlignment="1">
      <alignment/>
    </xf>
    <xf numFmtId="0" fontId="22" fillId="24" borderId="41" xfId="0" applyFont="1" applyFill="1" applyBorder="1" applyAlignment="1">
      <alignment/>
    </xf>
    <xf numFmtId="3" fontId="22" fillId="24" borderId="28" xfId="0" applyNumberFormat="1" applyFont="1" applyFill="1" applyBorder="1" applyAlignment="1">
      <alignment/>
    </xf>
    <xf numFmtId="3" fontId="36" fillId="24" borderId="28" xfId="0" applyNumberFormat="1" applyFont="1" applyFill="1" applyBorder="1" applyAlignment="1">
      <alignment/>
    </xf>
    <xf numFmtId="3" fontId="24" fillId="24" borderId="2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3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2" xfId="0" applyFont="1" applyFill="1" applyBorder="1" applyAlignment="1">
      <alignment horizontal="center"/>
    </xf>
    <xf numFmtId="3" fontId="30" fillId="22" borderId="25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9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right"/>
    </xf>
    <xf numFmtId="3" fontId="2" fillId="20" borderId="44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31" xfId="0" applyNumberFormat="1" applyFont="1" applyBorder="1" applyAlignment="1">
      <alignment/>
    </xf>
    <xf numFmtId="10" fontId="2" fillId="7" borderId="31" xfId="0" applyNumberFormat="1" applyFont="1" applyFill="1" applyBorder="1" applyAlignment="1">
      <alignment horizontal="right"/>
    </xf>
    <xf numFmtId="10" fontId="2" fillId="24" borderId="37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5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31" xfId="0" applyNumberFormat="1" applyFont="1" applyFill="1" applyBorder="1" applyAlignment="1">
      <alignment/>
    </xf>
    <xf numFmtId="10" fontId="2" fillId="0" borderId="31" xfId="0" applyNumberFormat="1" applyFont="1" applyFill="1" applyBorder="1" applyAlignment="1">
      <alignment horizontal="right"/>
    </xf>
    <xf numFmtId="10" fontId="2" fillId="0" borderId="31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35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6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31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7" fillId="27" borderId="2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6" xfId="0" applyFont="1" applyFill="1" applyBorder="1" applyAlignment="1">
      <alignment/>
    </xf>
    <xf numFmtId="0" fontId="32" fillId="20" borderId="26" xfId="0" applyFont="1" applyFill="1" applyBorder="1" applyAlignment="1">
      <alignment horizontal="center" wrapText="1"/>
    </xf>
    <xf numFmtId="0" fontId="32" fillId="20" borderId="26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3" fontId="22" fillId="7" borderId="28" xfId="0" applyNumberFormat="1" applyFont="1" applyFill="1" applyBorder="1" applyAlignment="1">
      <alignment horizontal="right"/>
    </xf>
    <xf numFmtId="10" fontId="22" fillId="7" borderId="29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1" xfId="0" applyFont="1" applyFill="1" applyBorder="1" applyAlignment="1">
      <alignment horizontal="center"/>
    </xf>
    <xf numFmtId="49" fontId="2" fillId="20" borderId="3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9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/>
    </xf>
    <xf numFmtId="3" fontId="2" fillId="7" borderId="41" xfId="0" applyNumberFormat="1" applyFont="1" applyFill="1" applyBorder="1" applyAlignment="1">
      <alignment horizontal="right"/>
    </xf>
    <xf numFmtId="0" fontId="27" fillId="24" borderId="35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3" xfId="0" applyNumberFormat="1" applyFont="1" applyFill="1" applyBorder="1" applyAlignment="1">
      <alignment/>
    </xf>
    <xf numFmtId="3" fontId="2" fillId="20" borderId="48" xfId="0" applyNumberFormat="1" applyFont="1" applyFill="1" applyBorder="1" applyAlignment="1">
      <alignment/>
    </xf>
    <xf numFmtId="3" fontId="2" fillId="20" borderId="28" xfId="0" applyNumberFormat="1" applyFont="1" applyFill="1" applyBorder="1" applyAlignment="1">
      <alignment horizontal="center" vertical="center"/>
    </xf>
    <xf numFmtId="10" fontId="2" fillId="20" borderId="28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30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7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31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31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31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5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9" xfId="0" applyFont="1" applyFill="1" applyBorder="1" applyAlignment="1">
      <alignment horizontal="center"/>
    </xf>
    <xf numFmtId="3" fontId="2" fillId="7" borderId="50" xfId="0" applyNumberFormat="1" applyFont="1" applyFill="1" applyBorder="1" applyAlignment="1">
      <alignment horizontal="right"/>
    </xf>
    <xf numFmtId="3" fontId="2" fillId="7" borderId="51" xfId="0" applyNumberFormat="1" applyFont="1" applyFill="1" applyBorder="1" applyAlignment="1">
      <alignment horizontal="right"/>
    </xf>
    <xf numFmtId="3" fontId="2" fillId="7" borderId="52" xfId="0" applyNumberFormat="1" applyFont="1" applyFill="1" applyBorder="1" applyAlignment="1">
      <alignment horizontal="right"/>
    </xf>
    <xf numFmtId="10" fontId="2" fillId="7" borderId="52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0" borderId="10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2" fillId="30" borderId="10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32" fillId="3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53" xfId="0" applyFont="1" applyFill="1" applyBorder="1" applyAlignment="1">
      <alignment horizontal="center"/>
    </xf>
    <xf numFmtId="3" fontId="2" fillId="7" borderId="53" xfId="0" applyNumberFormat="1" applyFont="1" applyFill="1" applyBorder="1" applyAlignment="1">
      <alignment horizontal="right"/>
    </xf>
    <xf numFmtId="0" fontId="2" fillId="32" borderId="54" xfId="0" applyFont="1" applyFill="1" applyBorder="1" applyAlignment="1">
      <alignment horizontal="center" vertical="center"/>
    </xf>
    <xf numFmtId="3" fontId="2" fillId="32" borderId="54" xfId="0" applyNumberFormat="1" applyFont="1" applyFill="1" applyBorder="1" applyAlignment="1">
      <alignment horizontal="right" vertical="center"/>
    </xf>
    <xf numFmtId="10" fontId="2" fillId="7" borderId="53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6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48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31" fillId="22" borderId="55" xfId="0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3" fontId="30" fillId="22" borderId="44" xfId="0" applyNumberFormat="1" applyFont="1" applyFill="1" applyBorder="1" applyAlignment="1">
      <alignment/>
    </xf>
    <xf numFmtId="0" fontId="32" fillId="20" borderId="56" xfId="0" applyFont="1" applyFill="1" applyBorder="1" applyAlignment="1">
      <alignment horizontal="center" wrapText="1"/>
    </xf>
    <xf numFmtId="3" fontId="2" fillId="0" borderId="57" xfId="0" applyNumberFormat="1" applyFont="1" applyBorder="1" applyAlignment="1">
      <alignment/>
    </xf>
    <xf numFmtId="0" fontId="31" fillId="22" borderId="58" xfId="0" applyFont="1" applyFill="1" applyBorder="1" applyAlignment="1">
      <alignment horizontal="center"/>
    </xf>
    <xf numFmtId="3" fontId="30" fillId="22" borderId="59" xfId="0" applyNumberFormat="1" applyFont="1" applyFill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4" fillId="0" borderId="61" xfId="0" applyNumberFormat="1" applyFont="1" applyBorder="1" applyAlignment="1">
      <alignment/>
    </xf>
    <xf numFmtId="0" fontId="32" fillId="20" borderId="62" xfId="0" applyFont="1" applyFill="1" applyBorder="1" applyAlignment="1">
      <alignment horizontal="center" wrapText="1"/>
    </xf>
    <xf numFmtId="10" fontId="2" fillId="0" borderId="63" xfId="0" applyNumberFormat="1" applyFont="1" applyBorder="1" applyAlignment="1">
      <alignment/>
    </xf>
    <xf numFmtId="10" fontId="0" fillId="0" borderId="64" xfId="0" applyNumberFormat="1" applyBorder="1" applyAlignment="1">
      <alignment/>
    </xf>
    <xf numFmtId="10" fontId="2" fillId="20" borderId="65" xfId="0" applyNumberFormat="1" applyFont="1" applyFill="1" applyBorder="1" applyAlignment="1">
      <alignment/>
    </xf>
    <xf numFmtId="10" fontId="2" fillId="8" borderId="11" xfId="0" applyNumberFormat="1" applyFont="1" applyFill="1" applyBorder="1" applyAlignment="1">
      <alignment/>
    </xf>
    <xf numFmtId="3" fontId="40" fillId="0" borderId="16" xfId="0" applyNumberFormat="1" applyFont="1" applyBorder="1" applyAlignment="1">
      <alignment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/>
    </xf>
    <xf numFmtId="0" fontId="32" fillId="20" borderId="29" xfId="0" applyFont="1" applyFill="1" applyBorder="1" applyAlignment="1">
      <alignment horizontal="center" vertical="center" wrapText="1"/>
    </xf>
    <xf numFmtId="0" fontId="32" fillId="20" borderId="29" xfId="0" applyFont="1" applyFill="1" applyBorder="1" applyAlignment="1">
      <alignment horizontal="center" wrapText="1"/>
    </xf>
    <xf numFmtId="10" fontId="2" fillId="0" borderId="21" xfId="0" applyNumberFormat="1" applyFont="1" applyBorder="1" applyAlignment="1" quotePrefix="1">
      <alignment/>
    </xf>
    <xf numFmtId="3" fontId="2" fillId="0" borderId="2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0" fontId="2" fillId="0" borderId="52" xfId="0" applyNumberFormat="1" applyFont="1" applyBorder="1" applyAlignment="1" quotePrefix="1">
      <alignment/>
    </xf>
    <xf numFmtId="3" fontId="2" fillId="32" borderId="66" xfId="0" applyNumberFormat="1" applyFont="1" applyFill="1" applyBorder="1" applyAlignment="1">
      <alignment horizontal="right" vertical="center"/>
    </xf>
    <xf numFmtId="10" fontId="2" fillId="32" borderId="67" xfId="0" applyNumberFormat="1" applyFont="1" applyFill="1" applyBorder="1" applyAlignment="1">
      <alignment horizontal="right" vertical="center"/>
    </xf>
    <xf numFmtId="10" fontId="2" fillId="0" borderId="68" xfId="0" applyNumberFormat="1" applyFont="1" applyBorder="1" applyAlignment="1">
      <alignment/>
    </xf>
    <xf numFmtId="3" fontId="2" fillId="32" borderId="11" xfId="0" applyNumberFormat="1" applyFont="1" applyFill="1" applyBorder="1" applyAlignment="1">
      <alignment horizontal="right" vertical="center"/>
    </xf>
    <xf numFmtId="3" fontId="41" fillId="24" borderId="16" xfId="0" applyNumberFormat="1" applyFont="1" applyFill="1" applyBorder="1" applyAlignment="1">
      <alignment/>
    </xf>
    <xf numFmtId="10" fontId="2" fillId="7" borderId="28" xfId="0" applyNumberFormat="1" applyFont="1" applyFill="1" applyBorder="1" applyAlignment="1">
      <alignment horizontal="right"/>
    </xf>
    <xf numFmtId="10" fontId="2" fillId="24" borderId="19" xfId="0" applyNumberFormat="1" applyFont="1" applyFill="1" applyBorder="1" applyAlignment="1">
      <alignment/>
    </xf>
    <xf numFmtId="0" fontId="28" fillId="0" borderId="26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4" borderId="69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69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66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7" xfId="0" applyFont="1" applyFill="1" applyBorder="1" applyAlignment="1">
      <alignment horizontal="center"/>
    </xf>
    <xf numFmtId="0" fontId="25" fillId="22" borderId="42" xfId="0" applyFont="1" applyFill="1" applyBorder="1" applyAlignment="1">
      <alignment horizontal="center"/>
    </xf>
    <xf numFmtId="0" fontId="25" fillId="22" borderId="70" xfId="0" applyFont="1" applyFill="1" applyBorder="1" applyAlignment="1">
      <alignment horizontal="center"/>
    </xf>
    <xf numFmtId="0" fontId="25" fillId="22" borderId="50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0" xfId="0" applyFont="1" applyFill="1" applyBorder="1" applyAlignment="1">
      <alignment horizontal="center"/>
    </xf>
    <xf numFmtId="0" fontId="25" fillId="22" borderId="25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4" borderId="71" xfId="0" applyFont="1" applyFill="1" applyBorder="1" applyAlignment="1">
      <alignment horizontal="center"/>
    </xf>
    <xf numFmtId="0" fontId="22" fillId="4" borderId="5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72" xfId="0" applyFont="1" applyFill="1" applyBorder="1" applyAlignment="1">
      <alignment horizontal="center" vertical="center"/>
    </xf>
    <xf numFmtId="0" fontId="26" fillId="3" borderId="7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47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74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5" fillId="20" borderId="47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9" fillId="20" borderId="47" xfId="0" applyFont="1" applyFill="1" applyBorder="1" applyAlignment="1">
      <alignment horizontal="center"/>
    </xf>
    <xf numFmtId="0" fontId="29" fillId="20" borderId="75" xfId="0" applyFont="1" applyFill="1" applyBorder="1" applyAlignment="1">
      <alignment horizontal="center"/>
    </xf>
    <xf numFmtId="0" fontId="29" fillId="20" borderId="65" xfId="0" applyFont="1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75" xfId="0" applyFill="1" applyBorder="1" applyAlignment="1">
      <alignment horizontal="center"/>
    </xf>
    <xf numFmtId="0" fontId="0" fillId="20" borderId="65" xfId="0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5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6" fillId="20" borderId="72" xfId="0" applyFont="1" applyFill="1" applyBorder="1" applyAlignment="1">
      <alignment horizontal="center"/>
    </xf>
    <xf numFmtId="0" fontId="26" fillId="20" borderId="7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0" borderId="66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23" fillId="8" borderId="56" xfId="0" applyFont="1" applyFill="1" applyBorder="1" applyAlignment="1">
      <alignment horizontal="center" vertical="center"/>
    </xf>
    <xf numFmtId="0" fontId="23" fillId="8" borderId="60" xfId="0" applyFont="1" applyFill="1" applyBorder="1" applyAlignment="1">
      <alignment horizontal="center" vertical="center"/>
    </xf>
    <xf numFmtId="0" fontId="23" fillId="8" borderId="49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4" xfId="0" applyBorder="1" applyAlignment="1">
      <alignment horizontal="right"/>
    </xf>
    <xf numFmtId="0" fontId="2" fillId="24" borderId="13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9" fillId="20" borderId="74" xfId="0" applyFont="1" applyFill="1" applyBorder="1" applyAlignment="1">
      <alignment horizontal="center"/>
    </xf>
    <xf numFmtId="0" fontId="29" fillId="20" borderId="69" xfId="0" applyFont="1" applyFill="1" applyBorder="1" applyAlignment="1">
      <alignment horizontal="center"/>
    </xf>
    <xf numFmtId="0" fontId="29" fillId="20" borderId="6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10" xfId="0" applyFont="1" applyFill="1" applyBorder="1" applyAlignment="1">
      <alignment horizontal="center" vertical="center"/>
    </xf>
    <xf numFmtId="0" fontId="25" fillId="20" borderId="27" xfId="0" applyFont="1" applyFill="1" applyBorder="1" applyAlignment="1">
      <alignment horizontal="center"/>
    </xf>
    <xf numFmtId="0" fontId="25" fillId="20" borderId="4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7"/>
  <sheetViews>
    <sheetView zoomScale="124" zoomScaleNormal="124" zoomScalePageLayoutView="0" workbookViewId="0" topLeftCell="A6">
      <selection activeCell="A44" sqref="A44"/>
    </sheetView>
  </sheetViews>
  <sheetFormatPr defaultColWidth="9.140625" defaultRowHeight="12.75"/>
  <cols>
    <col min="1" max="1" width="58.8515625" style="111" customWidth="1"/>
    <col min="2" max="2" width="11.140625" style="111" customWidth="1"/>
    <col min="3" max="3" width="12.140625" style="111" customWidth="1"/>
    <col min="4" max="4" width="12.421875" style="111" customWidth="1"/>
    <col min="5" max="6" width="12.7109375" style="111" hidden="1" customWidth="1"/>
    <col min="7" max="7" width="10.140625" style="111" hidden="1" customWidth="1"/>
    <col min="8" max="8" width="12.421875" style="111" hidden="1" customWidth="1"/>
    <col min="9" max="9" width="10.140625" style="111" hidden="1" customWidth="1"/>
    <col min="10" max="12" width="11.57421875" style="111" customWidth="1"/>
    <col min="13" max="13" width="11.8515625" style="111" customWidth="1"/>
    <col min="14" max="14" width="10.140625" style="111" customWidth="1"/>
    <col min="15" max="15" width="10.140625" style="111" bestFit="1" customWidth="1"/>
    <col min="16" max="16" width="11.140625" style="111" bestFit="1" customWidth="1"/>
    <col min="17" max="17" width="11.140625" style="111" customWidth="1"/>
    <col min="18" max="18" width="11.421875" style="111" customWidth="1"/>
    <col min="19" max="19" width="12.57421875" style="111" customWidth="1"/>
    <col min="20" max="16384" width="9.140625" style="111" customWidth="1"/>
  </cols>
  <sheetData>
    <row r="1" spans="1:13" ht="14.25">
      <c r="A1" s="37" t="s">
        <v>281</v>
      </c>
      <c r="K1" s="436" t="s">
        <v>186</v>
      </c>
      <c r="L1" s="436"/>
      <c r="M1" s="436"/>
    </row>
    <row r="2" spans="1:13" ht="14.25">
      <c r="A2" s="110" t="s">
        <v>196</v>
      </c>
      <c r="K2" s="436"/>
      <c r="L2" s="436"/>
      <c r="M2" s="436"/>
    </row>
    <row r="3" spans="1:13" ht="12.75" customHeight="1">
      <c r="A3" s="444" t="s">
        <v>167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</row>
    <row r="4" spans="1:13" ht="12.75" customHeight="1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</row>
    <row r="5" spans="1:13" ht="12.75" customHeigh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1:13" ht="19.5" customHeight="1">
      <c r="A6" s="445" t="s">
        <v>283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</row>
    <row r="7" spans="1:13" ht="12.75" customHeight="1" thickBo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443" t="s">
        <v>166</v>
      </c>
      <c r="M7" s="443"/>
    </row>
    <row r="8" spans="1:14" ht="45">
      <c r="A8" s="462" t="s">
        <v>154</v>
      </c>
      <c r="B8" s="463"/>
      <c r="C8" s="329" t="s">
        <v>155</v>
      </c>
      <c r="D8" s="329" t="s">
        <v>156</v>
      </c>
      <c r="E8" s="330"/>
      <c r="F8" s="330"/>
      <c r="G8" s="330"/>
      <c r="H8" s="330"/>
      <c r="I8" s="330"/>
      <c r="J8" s="329" t="s">
        <v>157</v>
      </c>
      <c r="K8" s="329" t="s">
        <v>158</v>
      </c>
      <c r="L8" s="329" t="s">
        <v>159</v>
      </c>
      <c r="M8" s="329" t="s">
        <v>160</v>
      </c>
      <c r="N8" s="331" t="s">
        <v>244</v>
      </c>
    </row>
    <row r="9" spans="1:14" ht="16.5" thickBot="1">
      <c r="A9" s="332"/>
      <c r="B9" s="282"/>
      <c r="C9" s="283">
        <v>1</v>
      </c>
      <c r="D9" s="283">
        <v>2</v>
      </c>
      <c r="E9" s="284"/>
      <c r="F9" s="284"/>
      <c r="G9" s="284"/>
      <c r="H9" s="284"/>
      <c r="I9" s="284"/>
      <c r="J9" s="283">
        <v>3</v>
      </c>
      <c r="K9" s="283">
        <v>4</v>
      </c>
      <c r="L9" s="283">
        <v>5</v>
      </c>
      <c r="M9" s="283" t="s">
        <v>163</v>
      </c>
      <c r="N9" s="333"/>
    </row>
    <row r="10" spans="1:14" ht="24.75" customHeight="1" thickBot="1">
      <c r="A10" s="288" t="s">
        <v>11</v>
      </c>
      <c r="B10" s="289" t="s">
        <v>161</v>
      </c>
      <c r="C10" s="290">
        <f>C11+C12+C15+C18</f>
        <v>34462000</v>
      </c>
      <c r="D10" s="290">
        <f aca="true" t="shared" si="0" ref="D10:I10">D11+D12+D15+D18</f>
        <v>27888000</v>
      </c>
      <c r="E10" s="290">
        <f t="shared" si="0"/>
        <v>0</v>
      </c>
      <c r="F10" s="290">
        <f t="shared" si="0"/>
        <v>0</v>
      </c>
      <c r="G10" s="290">
        <f t="shared" si="0"/>
        <v>0</v>
      </c>
      <c r="H10" s="290">
        <f t="shared" si="0"/>
        <v>0</v>
      </c>
      <c r="I10" s="290">
        <f t="shared" si="0"/>
        <v>0</v>
      </c>
      <c r="J10" s="290">
        <f>J11+J12+J15+J18+J21</f>
        <v>32920607</v>
      </c>
      <c r="K10" s="290">
        <f>K11+K12+K15+K18+K21</f>
        <v>32920607</v>
      </c>
      <c r="L10" s="290">
        <f>L11+L12+L15+L18+L21</f>
        <v>23310009</v>
      </c>
      <c r="M10" s="290">
        <f>M11+M12+M15+M18+M21</f>
        <v>9610598</v>
      </c>
      <c r="N10" s="291">
        <f>L10/C10</f>
        <v>0.6763974522662642</v>
      </c>
    </row>
    <row r="11" spans="1:14" ht="15">
      <c r="A11" s="285" t="s">
        <v>149</v>
      </c>
      <c r="B11" s="434" t="s">
        <v>10</v>
      </c>
      <c r="C11" s="286">
        <v>29434000</v>
      </c>
      <c r="D11" s="286">
        <v>23588000</v>
      </c>
      <c r="E11" s="286"/>
      <c r="F11" s="286"/>
      <c r="G11" s="287"/>
      <c r="H11" s="334"/>
      <c r="I11" s="334"/>
      <c r="J11" s="286">
        <v>29396553</v>
      </c>
      <c r="K11" s="286">
        <v>29396553</v>
      </c>
      <c r="L11" s="286">
        <v>20493424</v>
      </c>
      <c r="M11" s="286">
        <f>J11-L11</f>
        <v>8903129</v>
      </c>
      <c r="N11" s="335">
        <f>L11/C11</f>
        <v>0.6962500509614731</v>
      </c>
    </row>
    <row r="12" spans="1:14" ht="15.75" customHeight="1">
      <c r="A12" s="115" t="s">
        <v>150</v>
      </c>
      <c r="B12" s="434"/>
      <c r="C12" s="118">
        <v>4758000</v>
      </c>
      <c r="D12" s="118">
        <v>4075000</v>
      </c>
      <c r="E12" s="118"/>
      <c r="F12" s="118"/>
      <c r="G12" s="154"/>
      <c r="H12" s="456"/>
      <c r="I12" s="457"/>
      <c r="J12" s="118">
        <v>3438274</v>
      </c>
      <c r="K12" s="118">
        <v>3438274</v>
      </c>
      <c r="L12" s="118">
        <v>2840461</v>
      </c>
      <c r="M12" s="118">
        <f aca="true" t="shared" si="1" ref="M12:M20">J12-L12</f>
        <v>597813</v>
      </c>
      <c r="N12" s="336">
        <f aca="true" t="shared" si="2" ref="N12:N20">L12/C12</f>
        <v>0.5969863387978142</v>
      </c>
    </row>
    <row r="13" spans="1:14" ht="15" customHeight="1" hidden="1">
      <c r="A13" s="115" t="s">
        <v>0</v>
      </c>
      <c r="B13" s="434"/>
      <c r="C13" s="116"/>
      <c r="D13" s="116"/>
      <c r="E13" s="116"/>
      <c r="F13" s="116"/>
      <c r="G13" s="117"/>
      <c r="H13" s="120"/>
      <c r="I13" s="121"/>
      <c r="J13" s="116"/>
      <c r="K13" s="116"/>
      <c r="L13" s="116"/>
      <c r="M13" s="116">
        <f t="shared" si="1"/>
        <v>0</v>
      </c>
      <c r="N13" s="336" t="e">
        <f t="shared" si="2"/>
        <v>#DIV/0!</v>
      </c>
    </row>
    <row r="14" spans="1:14" ht="15" customHeight="1" hidden="1">
      <c r="A14" s="115" t="s">
        <v>1</v>
      </c>
      <c r="B14" s="434"/>
      <c r="C14" s="116"/>
      <c r="D14" s="116"/>
      <c r="E14" s="116"/>
      <c r="F14" s="116"/>
      <c r="G14" s="117"/>
      <c r="H14" s="120"/>
      <c r="I14" s="121"/>
      <c r="J14" s="116"/>
      <c r="K14" s="116"/>
      <c r="L14" s="116"/>
      <c r="M14" s="116">
        <f t="shared" si="1"/>
        <v>0</v>
      </c>
      <c r="N14" s="336" t="e">
        <f t="shared" si="2"/>
        <v>#DIV/0!</v>
      </c>
    </row>
    <row r="15" spans="1:14" ht="15" customHeight="1">
      <c r="A15" s="115" t="s">
        <v>148</v>
      </c>
      <c r="B15" s="434"/>
      <c r="C15" s="116">
        <v>100000</v>
      </c>
      <c r="D15" s="116">
        <v>100000</v>
      </c>
      <c r="E15" s="116"/>
      <c r="F15" s="116"/>
      <c r="G15" s="117"/>
      <c r="H15" s="120"/>
      <c r="I15" s="121"/>
      <c r="J15" s="116">
        <v>100000</v>
      </c>
      <c r="K15" s="116">
        <v>100000</v>
      </c>
      <c r="L15" s="116">
        <v>100000</v>
      </c>
      <c r="M15" s="116">
        <f t="shared" si="1"/>
        <v>0</v>
      </c>
      <c r="N15" s="336">
        <f t="shared" si="2"/>
        <v>1</v>
      </c>
    </row>
    <row r="16" spans="1:14" ht="15" customHeight="1" hidden="1">
      <c r="A16" s="115" t="s">
        <v>230</v>
      </c>
      <c r="B16" s="434"/>
      <c r="C16" s="116"/>
      <c r="D16" s="116"/>
      <c r="E16" s="116"/>
      <c r="F16" s="116"/>
      <c r="G16" s="117"/>
      <c r="H16" s="120"/>
      <c r="I16" s="121"/>
      <c r="J16" s="116"/>
      <c r="K16" s="116"/>
      <c r="L16" s="116"/>
      <c r="M16" s="116">
        <f t="shared" si="1"/>
        <v>0</v>
      </c>
      <c r="N16" s="336" t="e">
        <f t="shared" si="2"/>
        <v>#DIV/0!</v>
      </c>
    </row>
    <row r="17" spans="1:14" ht="15" customHeight="1" hidden="1">
      <c r="A17" s="115" t="s">
        <v>3</v>
      </c>
      <c r="B17" s="434"/>
      <c r="C17" s="116"/>
      <c r="D17" s="116"/>
      <c r="E17" s="116"/>
      <c r="F17" s="116"/>
      <c r="G17" s="117"/>
      <c r="H17" s="120"/>
      <c r="I17" s="121"/>
      <c r="J17" s="116"/>
      <c r="K17" s="116"/>
      <c r="L17" s="116"/>
      <c r="M17" s="116">
        <f t="shared" si="1"/>
        <v>0</v>
      </c>
      <c r="N17" s="336" t="e">
        <f t="shared" si="2"/>
        <v>#DIV/0!</v>
      </c>
    </row>
    <row r="18" spans="1:14" ht="15">
      <c r="A18" s="115" t="s">
        <v>4</v>
      </c>
      <c r="B18" s="435"/>
      <c r="C18" s="116">
        <v>170000</v>
      </c>
      <c r="D18" s="116">
        <v>125000</v>
      </c>
      <c r="E18" s="116"/>
      <c r="F18" s="116"/>
      <c r="G18" s="117"/>
      <c r="H18" s="120"/>
      <c r="I18" s="121"/>
      <c r="J18" s="116">
        <v>170000</v>
      </c>
      <c r="K18" s="116">
        <v>170000</v>
      </c>
      <c r="L18" s="116">
        <v>60344</v>
      </c>
      <c r="M18" s="116">
        <f t="shared" si="1"/>
        <v>109656</v>
      </c>
      <c r="N18" s="336">
        <f t="shared" si="2"/>
        <v>0.35496470588235296</v>
      </c>
    </row>
    <row r="19" spans="1:14" ht="15" hidden="1">
      <c r="A19" s="115" t="s">
        <v>5</v>
      </c>
      <c r="B19" s="119"/>
      <c r="C19" s="116">
        <f>D19+E19+F19+G19</f>
        <v>0</v>
      </c>
      <c r="D19" s="116"/>
      <c r="E19" s="116"/>
      <c r="F19" s="116"/>
      <c r="G19" s="117"/>
      <c r="H19" s="120"/>
      <c r="I19" s="121"/>
      <c r="J19" s="116"/>
      <c r="K19" s="116"/>
      <c r="L19" s="116"/>
      <c r="M19" s="116">
        <f t="shared" si="1"/>
        <v>0</v>
      </c>
      <c r="N19" s="336" t="e">
        <f t="shared" si="2"/>
        <v>#DIV/0!</v>
      </c>
    </row>
    <row r="20" spans="1:14" ht="15" hidden="1">
      <c r="A20" s="115" t="s">
        <v>6</v>
      </c>
      <c r="B20" s="119"/>
      <c r="C20" s="116">
        <f>D20+E20+F20+G20</f>
        <v>0</v>
      </c>
      <c r="D20" s="116"/>
      <c r="E20" s="116"/>
      <c r="F20" s="116"/>
      <c r="G20" s="117"/>
      <c r="H20" s="120"/>
      <c r="I20" s="121"/>
      <c r="J20" s="116"/>
      <c r="K20" s="116"/>
      <c r="L20" s="116"/>
      <c r="M20" s="116">
        <f t="shared" si="1"/>
        <v>0</v>
      </c>
      <c r="N20" s="336" t="e">
        <f t="shared" si="2"/>
        <v>#DIV/0!</v>
      </c>
    </row>
    <row r="21" spans="1:14" ht="15">
      <c r="A21" s="122" t="s">
        <v>7</v>
      </c>
      <c r="B21" s="119"/>
      <c r="C21" s="116"/>
      <c r="D21" s="123"/>
      <c r="E21" s="123">
        <f>E24</f>
        <v>-4991</v>
      </c>
      <c r="F21" s="123">
        <f>F24</f>
        <v>-4991</v>
      </c>
      <c r="G21" s="123">
        <f>G24</f>
        <v>-4991</v>
      </c>
      <c r="H21" s="123">
        <f>H24</f>
        <v>-4991</v>
      </c>
      <c r="I21" s="123">
        <f>I24</f>
        <v>-4991</v>
      </c>
      <c r="J21" s="123">
        <f>K21</f>
        <v>-184220</v>
      </c>
      <c r="K21" s="123">
        <f>L21</f>
        <v>-184220</v>
      </c>
      <c r="L21" s="123">
        <v>-184220</v>
      </c>
      <c r="M21" s="116"/>
      <c r="N21" s="336"/>
    </row>
    <row r="22" spans="1:14" ht="15">
      <c r="A22" s="124" t="s">
        <v>8</v>
      </c>
      <c r="B22" s="119"/>
      <c r="C22" s="116"/>
      <c r="D22" s="116"/>
      <c r="E22" s="116"/>
      <c r="F22" s="116"/>
      <c r="G22" s="117"/>
      <c r="H22" s="120" t="s">
        <v>106</v>
      </c>
      <c r="I22" s="125">
        <f>C11+C12</f>
        <v>34192000</v>
      </c>
      <c r="J22" s="116"/>
      <c r="K22" s="116"/>
      <c r="L22" s="116"/>
      <c r="M22" s="116"/>
      <c r="N22" s="336"/>
    </row>
    <row r="23" spans="1:14" ht="14.25">
      <c r="A23" s="126" t="s">
        <v>9</v>
      </c>
      <c r="B23" s="127" t="s">
        <v>10</v>
      </c>
      <c r="C23" s="128">
        <f>C11+C12+C16+C18+C15</f>
        <v>34462000</v>
      </c>
      <c r="D23" s="128">
        <f aca="true" t="shared" si="3" ref="D23:L23">D11+D12+D16+D18+D15</f>
        <v>27888000</v>
      </c>
      <c r="E23" s="128">
        <f t="shared" si="3"/>
        <v>0</v>
      </c>
      <c r="F23" s="128">
        <f t="shared" si="3"/>
        <v>0</v>
      </c>
      <c r="G23" s="128">
        <f t="shared" si="3"/>
        <v>0</v>
      </c>
      <c r="H23" s="128">
        <f t="shared" si="3"/>
        <v>0</v>
      </c>
      <c r="I23" s="128">
        <f t="shared" si="3"/>
        <v>0</v>
      </c>
      <c r="J23" s="128">
        <f t="shared" si="3"/>
        <v>33104827</v>
      </c>
      <c r="K23" s="128">
        <f t="shared" si="3"/>
        <v>33104827</v>
      </c>
      <c r="L23" s="128">
        <f t="shared" si="3"/>
        <v>23494229</v>
      </c>
      <c r="M23" s="128">
        <f>M11+M12+M16+M18</f>
        <v>9610598</v>
      </c>
      <c r="N23" s="337">
        <f>L23/C23</f>
        <v>0.6817430503162905</v>
      </c>
    </row>
    <row r="24" spans="1:14" ht="15" thickBot="1">
      <c r="A24" s="292" t="s">
        <v>7</v>
      </c>
      <c r="B24" s="177"/>
      <c r="C24" s="165"/>
      <c r="D24" s="165"/>
      <c r="E24" s="165">
        <f aca="true" t="shared" si="4" ref="E24:L24">E21</f>
        <v>0</v>
      </c>
      <c r="F24" s="165">
        <f t="shared" si="4"/>
        <v>0</v>
      </c>
      <c r="G24" s="165">
        <f t="shared" si="4"/>
        <v>0</v>
      </c>
      <c r="H24" s="165">
        <f t="shared" si="4"/>
        <v>0</v>
      </c>
      <c r="I24" s="165">
        <f t="shared" si="4"/>
        <v>0</v>
      </c>
      <c r="J24" s="167">
        <f t="shared" si="4"/>
        <v>-184220</v>
      </c>
      <c r="K24" s="167">
        <f t="shared" si="4"/>
        <v>-184220</v>
      </c>
      <c r="L24" s="167">
        <f t="shared" si="4"/>
        <v>-184220</v>
      </c>
      <c r="M24" s="165"/>
      <c r="N24" s="338"/>
    </row>
    <row r="25" spans="1:14" ht="24.75" customHeight="1" thickBot="1">
      <c r="A25" s="288" t="s">
        <v>15</v>
      </c>
      <c r="B25" s="289" t="s">
        <v>161</v>
      </c>
      <c r="C25" s="290">
        <f>C26+C27+C28+C33</f>
        <v>2393000</v>
      </c>
      <c r="D25" s="290">
        <f aca="true" t="shared" si="5" ref="D25:M25">D26+D27+D28+D33</f>
        <v>2091000</v>
      </c>
      <c r="E25" s="290">
        <f t="shared" si="5"/>
        <v>0</v>
      </c>
      <c r="F25" s="290">
        <f t="shared" si="5"/>
        <v>0</v>
      </c>
      <c r="G25" s="290">
        <f t="shared" si="5"/>
        <v>0</v>
      </c>
      <c r="H25" s="290">
        <f t="shared" si="5"/>
        <v>0</v>
      </c>
      <c r="I25" s="290">
        <f t="shared" si="5"/>
        <v>0</v>
      </c>
      <c r="J25" s="290">
        <f t="shared" si="5"/>
        <v>2344428</v>
      </c>
      <c r="K25" s="290">
        <f t="shared" si="5"/>
        <v>2344428</v>
      </c>
      <c r="L25" s="290">
        <f t="shared" si="5"/>
        <v>1738967</v>
      </c>
      <c r="M25" s="290">
        <f t="shared" si="5"/>
        <v>605461</v>
      </c>
      <c r="N25" s="291">
        <f>L25/C25</f>
        <v>0.7266890931884663</v>
      </c>
    </row>
    <row r="26" spans="1:14" ht="15">
      <c r="A26" s="285" t="s">
        <v>149</v>
      </c>
      <c r="B26" s="434" t="s">
        <v>13</v>
      </c>
      <c r="C26" s="286">
        <v>2332000</v>
      </c>
      <c r="D26" s="286">
        <v>2030000</v>
      </c>
      <c r="E26" s="286"/>
      <c r="F26" s="286"/>
      <c r="G26" s="287"/>
      <c r="H26" s="334"/>
      <c r="I26" s="334"/>
      <c r="J26" s="286">
        <v>2318000</v>
      </c>
      <c r="K26" s="286">
        <v>2318000</v>
      </c>
      <c r="L26" s="286">
        <v>1712539</v>
      </c>
      <c r="M26" s="286">
        <f>J26-L26</f>
        <v>605461</v>
      </c>
      <c r="N26" s="335">
        <f>L26/C26</f>
        <v>0.734364922813036</v>
      </c>
    </row>
    <row r="27" spans="1:14" ht="15">
      <c r="A27" s="115" t="s">
        <v>150</v>
      </c>
      <c r="B27" s="435"/>
      <c r="C27" s="116">
        <v>60000</v>
      </c>
      <c r="D27" s="116">
        <v>60000</v>
      </c>
      <c r="E27" s="116"/>
      <c r="F27" s="116"/>
      <c r="G27" s="117"/>
      <c r="H27" s="437"/>
      <c r="I27" s="438"/>
      <c r="J27" s="116">
        <v>26428</v>
      </c>
      <c r="K27" s="116">
        <v>26428</v>
      </c>
      <c r="L27" s="116">
        <v>26428</v>
      </c>
      <c r="M27" s="116">
        <f>J27-L27</f>
        <v>0</v>
      </c>
      <c r="N27" s="336">
        <f aca="true" t="shared" si="6" ref="N27:N33">L27/C27</f>
        <v>0.4404666666666667</v>
      </c>
    </row>
    <row r="28" spans="1:14" ht="15">
      <c r="A28" s="115" t="s">
        <v>222</v>
      </c>
      <c r="B28" s="130" t="s">
        <v>223</v>
      </c>
      <c r="C28" s="116">
        <v>0</v>
      </c>
      <c r="D28" s="116"/>
      <c r="E28" s="116"/>
      <c r="F28" s="116"/>
      <c r="G28" s="117"/>
      <c r="H28" s="120"/>
      <c r="I28" s="121"/>
      <c r="J28" s="116"/>
      <c r="K28" s="116"/>
      <c r="L28" s="116"/>
      <c r="M28" s="116">
        <f aca="true" t="shared" si="7" ref="M28:M33">J28-L28</f>
        <v>0</v>
      </c>
      <c r="N28" s="336"/>
    </row>
    <row r="29" spans="1:14" ht="15" hidden="1">
      <c r="A29" s="115" t="s">
        <v>1</v>
      </c>
      <c r="B29" s="119"/>
      <c r="C29" s="116"/>
      <c r="D29" s="116"/>
      <c r="E29" s="116"/>
      <c r="F29" s="116"/>
      <c r="G29" s="117"/>
      <c r="H29" s="120"/>
      <c r="I29" s="121"/>
      <c r="J29" s="116"/>
      <c r="K29" s="116"/>
      <c r="L29" s="116"/>
      <c r="M29" s="116">
        <f t="shared" si="7"/>
        <v>0</v>
      </c>
      <c r="N29" s="336" t="e">
        <f t="shared" si="6"/>
        <v>#DIV/0!</v>
      </c>
    </row>
    <row r="30" spans="1:14" ht="15" hidden="1">
      <c r="A30" s="115" t="s">
        <v>148</v>
      </c>
      <c r="B30" s="119"/>
      <c r="C30" s="116"/>
      <c r="D30" s="116"/>
      <c r="E30" s="116"/>
      <c r="F30" s="116"/>
      <c r="G30" s="117"/>
      <c r="H30" s="120"/>
      <c r="I30" s="121"/>
      <c r="J30" s="116"/>
      <c r="K30" s="116"/>
      <c r="L30" s="116"/>
      <c r="M30" s="116">
        <f t="shared" si="7"/>
        <v>0</v>
      </c>
      <c r="N30" s="336" t="e">
        <f t="shared" si="6"/>
        <v>#DIV/0!</v>
      </c>
    </row>
    <row r="31" spans="1:14" ht="15" hidden="1">
      <c r="A31" s="115" t="s">
        <v>2</v>
      </c>
      <c r="B31" s="119"/>
      <c r="C31" s="116"/>
      <c r="D31" s="116"/>
      <c r="E31" s="116"/>
      <c r="F31" s="116"/>
      <c r="G31" s="117"/>
      <c r="H31" s="120"/>
      <c r="I31" s="121"/>
      <c r="J31" s="116"/>
      <c r="K31" s="116"/>
      <c r="L31" s="116"/>
      <c r="M31" s="116">
        <f t="shared" si="7"/>
        <v>0</v>
      </c>
      <c r="N31" s="336" t="e">
        <f t="shared" si="6"/>
        <v>#DIV/0!</v>
      </c>
    </row>
    <row r="32" spans="1:14" ht="15" hidden="1">
      <c r="A32" s="115" t="s">
        <v>3</v>
      </c>
      <c r="B32" s="119"/>
      <c r="C32" s="116"/>
      <c r="D32" s="116"/>
      <c r="E32" s="116"/>
      <c r="F32" s="116"/>
      <c r="G32" s="117"/>
      <c r="H32" s="120"/>
      <c r="I32" s="121"/>
      <c r="J32" s="116"/>
      <c r="K32" s="116"/>
      <c r="L32" s="116"/>
      <c r="M32" s="116">
        <f t="shared" si="7"/>
        <v>0</v>
      </c>
      <c r="N32" s="336" t="e">
        <f t="shared" si="6"/>
        <v>#DIV/0!</v>
      </c>
    </row>
    <row r="33" spans="1:14" ht="15">
      <c r="A33" s="115" t="s">
        <v>4</v>
      </c>
      <c r="B33" s="235" t="s">
        <v>13</v>
      </c>
      <c r="C33" s="116">
        <v>1000</v>
      </c>
      <c r="D33" s="116">
        <v>1000</v>
      </c>
      <c r="E33" s="116"/>
      <c r="F33" s="116"/>
      <c r="G33" s="117"/>
      <c r="H33" s="120"/>
      <c r="I33" s="121"/>
      <c r="J33" s="116">
        <v>0</v>
      </c>
      <c r="K33" s="116">
        <v>0</v>
      </c>
      <c r="L33" s="116">
        <v>0</v>
      </c>
      <c r="M33" s="116">
        <f t="shared" si="7"/>
        <v>0</v>
      </c>
      <c r="N33" s="336">
        <f t="shared" si="6"/>
        <v>0</v>
      </c>
    </row>
    <row r="34" spans="1:14" ht="15" hidden="1">
      <c r="A34" s="115" t="s">
        <v>5</v>
      </c>
      <c r="B34" s="119"/>
      <c r="C34" s="116">
        <f>D34+E34+F34+G34</f>
        <v>0</v>
      </c>
      <c r="D34" s="116"/>
      <c r="E34" s="116"/>
      <c r="F34" s="116"/>
      <c r="G34" s="117"/>
      <c r="H34" s="120"/>
      <c r="I34" s="121"/>
      <c r="J34" s="116"/>
      <c r="K34" s="116"/>
      <c r="L34" s="116"/>
      <c r="M34" s="116"/>
      <c r="N34" s="336"/>
    </row>
    <row r="35" spans="1:14" ht="15" hidden="1">
      <c r="A35" s="115" t="s">
        <v>6</v>
      </c>
      <c r="B35" s="119"/>
      <c r="C35" s="116">
        <f>D35+E35+F35+G35</f>
        <v>0</v>
      </c>
      <c r="D35" s="116"/>
      <c r="E35" s="116"/>
      <c r="F35" s="116"/>
      <c r="G35" s="117"/>
      <c r="H35" s="120"/>
      <c r="I35" s="121"/>
      <c r="J35" s="116"/>
      <c r="K35" s="116"/>
      <c r="L35" s="116"/>
      <c r="M35" s="116"/>
      <c r="N35" s="336"/>
    </row>
    <row r="36" spans="1:14" ht="15">
      <c r="A36" s="122" t="s">
        <v>7</v>
      </c>
      <c r="B36" s="119"/>
      <c r="C36" s="116"/>
      <c r="D36" s="116"/>
      <c r="E36" s="116"/>
      <c r="F36" s="116"/>
      <c r="G36" s="117"/>
      <c r="H36" s="120"/>
      <c r="I36" s="121"/>
      <c r="J36" s="116"/>
      <c r="K36" s="116"/>
      <c r="L36" s="116"/>
      <c r="M36" s="116"/>
      <c r="N36" s="336"/>
    </row>
    <row r="37" spans="1:14" ht="15">
      <c r="A37" s="124" t="s">
        <v>8</v>
      </c>
      <c r="B37" s="119"/>
      <c r="C37" s="116"/>
      <c r="D37" s="116"/>
      <c r="E37" s="116"/>
      <c r="F37" s="116"/>
      <c r="G37" s="117"/>
      <c r="H37" s="120" t="s">
        <v>106</v>
      </c>
      <c r="I37" s="125">
        <f>C26+C27</f>
        <v>2392000</v>
      </c>
      <c r="J37" s="116"/>
      <c r="K37" s="116"/>
      <c r="L37" s="116"/>
      <c r="M37" s="116"/>
      <c r="N37" s="336"/>
    </row>
    <row r="38" spans="1:14" ht="15">
      <c r="A38" s="131" t="s">
        <v>222</v>
      </c>
      <c r="B38" s="127" t="s">
        <v>223</v>
      </c>
      <c r="C38" s="132">
        <f>C28</f>
        <v>0</v>
      </c>
      <c r="D38" s="132">
        <f aca="true" t="shared" si="8" ref="D38:M38">D28</f>
        <v>0</v>
      </c>
      <c r="E38" s="132">
        <f t="shared" si="8"/>
        <v>0</v>
      </c>
      <c r="F38" s="132">
        <f t="shared" si="8"/>
        <v>0</v>
      </c>
      <c r="G38" s="132">
        <f t="shared" si="8"/>
        <v>0</v>
      </c>
      <c r="H38" s="132">
        <f t="shared" si="8"/>
        <v>0</v>
      </c>
      <c r="I38" s="132">
        <f t="shared" si="8"/>
        <v>0</v>
      </c>
      <c r="J38" s="132">
        <f t="shared" si="8"/>
        <v>0</v>
      </c>
      <c r="K38" s="132">
        <f t="shared" si="8"/>
        <v>0</v>
      </c>
      <c r="L38" s="132">
        <f t="shared" si="8"/>
        <v>0</v>
      </c>
      <c r="M38" s="132">
        <f t="shared" si="8"/>
        <v>0</v>
      </c>
      <c r="N38" s="339"/>
    </row>
    <row r="39" spans="1:14" ht="14.25">
      <c r="A39" s="126" t="s">
        <v>12</v>
      </c>
      <c r="B39" s="127" t="s">
        <v>13</v>
      </c>
      <c r="C39" s="128">
        <f>C27+C26+C33</f>
        <v>2393000</v>
      </c>
      <c r="D39" s="128">
        <f aca="true" t="shared" si="9" ref="D39:M39">D27+D26+D33</f>
        <v>2091000</v>
      </c>
      <c r="E39" s="128">
        <f t="shared" si="9"/>
        <v>0</v>
      </c>
      <c r="F39" s="128">
        <f t="shared" si="9"/>
        <v>0</v>
      </c>
      <c r="G39" s="128">
        <f t="shared" si="9"/>
        <v>0</v>
      </c>
      <c r="H39" s="128">
        <f t="shared" si="9"/>
        <v>0</v>
      </c>
      <c r="I39" s="128">
        <f t="shared" si="9"/>
        <v>0</v>
      </c>
      <c r="J39" s="128">
        <f t="shared" si="9"/>
        <v>2344428</v>
      </c>
      <c r="K39" s="128">
        <f t="shared" si="9"/>
        <v>2344428</v>
      </c>
      <c r="L39" s="128">
        <f t="shared" si="9"/>
        <v>1738967</v>
      </c>
      <c r="M39" s="128">
        <f t="shared" si="9"/>
        <v>605461</v>
      </c>
      <c r="N39" s="337">
        <f>L39/C39</f>
        <v>0.7266890931884663</v>
      </c>
    </row>
    <row r="40" spans="1:14" ht="15.75" thickBot="1">
      <c r="A40" s="292" t="s">
        <v>7</v>
      </c>
      <c r="B40" s="177"/>
      <c r="C40" s="165"/>
      <c r="D40" s="165"/>
      <c r="E40" s="165"/>
      <c r="F40" s="165"/>
      <c r="G40" s="165"/>
      <c r="H40" s="293"/>
      <c r="I40" s="180"/>
      <c r="J40" s="165">
        <f>J36</f>
        <v>0</v>
      </c>
      <c r="K40" s="165">
        <f>K36</f>
        <v>0</v>
      </c>
      <c r="L40" s="165">
        <f>L36</f>
        <v>0</v>
      </c>
      <c r="M40" s="165"/>
      <c r="N40" s="338"/>
    </row>
    <row r="41" spans="1:14" ht="24.75" customHeight="1" thickBot="1">
      <c r="A41" s="288" t="s">
        <v>24</v>
      </c>
      <c r="B41" s="289" t="s">
        <v>161</v>
      </c>
      <c r="C41" s="290">
        <f>C42+C43</f>
        <v>3362000</v>
      </c>
      <c r="D41" s="290">
        <f aca="true" t="shared" si="10" ref="D41:M41">D42+D43</f>
        <v>3052500</v>
      </c>
      <c r="E41" s="290">
        <f t="shared" si="10"/>
        <v>0</v>
      </c>
      <c r="F41" s="290">
        <f t="shared" si="10"/>
        <v>0</v>
      </c>
      <c r="G41" s="290">
        <f t="shared" si="10"/>
        <v>0</v>
      </c>
      <c r="H41" s="290">
        <f t="shared" si="10"/>
        <v>0</v>
      </c>
      <c r="I41" s="290">
        <f t="shared" si="10"/>
        <v>0</v>
      </c>
      <c r="J41" s="290">
        <f>J42+J43+J44</f>
        <v>3362000</v>
      </c>
      <c r="K41" s="290">
        <f>K42+K43+K44</f>
        <v>3362000</v>
      </c>
      <c r="L41" s="290">
        <f>L42+L43+L44</f>
        <v>1427563</v>
      </c>
      <c r="M41" s="290">
        <f t="shared" si="10"/>
        <v>1934437</v>
      </c>
      <c r="N41" s="291">
        <f>L41/C41</f>
        <v>0.42461719214753124</v>
      </c>
    </row>
    <row r="42" spans="1:14" ht="15">
      <c r="A42" s="285" t="s">
        <v>0</v>
      </c>
      <c r="B42" s="294"/>
      <c r="C42" s="286">
        <v>3362000</v>
      </c>
      <c r="D42" s="286">
        <v>3052500</v>
      </c>
      <c r="E42" s="286"/>
      <c r="F42" s="286"/>
      <c r="G42" s="287"/>
      <c r="H42" s="458"/>
      <c r="I42" s="459"/>
      <c r="J42" s="286">
        <v>3362000</v>
      </c>
      <c r="K42" s="286">
        <v>3362000</v>
      </c>
      <c r="L42" s="286">
        <v>1427563</v>
      </c>
      <c r="M42" s="286">
        <f>J42-L42</f>
        <v>1934437</v>
      </c>
      <c r="N42" s="335">
        <f>L42/C42</f>
        <v>0.42461719214753124</v>
      </c>
    </row>
    <row r="43" spans="1:14" ht="15">
      <c r="A43" s="134" t="s">
        <v>14</v>
      </c>
      <c r="B43" s="135"/>
      <c r="C43" s="136">
        <v>0</v>
      </c>
      <c r="D43" s="136"/>
      <c r="E43" s="136"/>
      <c r="F43" s="136"/>
      <c r="G43" s="137"/>
      <c r="H43" s="120"/>
      <c r="I43" s="125"/>
      <c r="J43" s="136"/>
      <c r="K43" s="136"/>
      <c r="L43" s="136"/>
      <c r="M43" s="136">
        <f>J43-L43</f>
        <v>0</v>
      </c>
      <c r="N43" s="340"/>
    </row>
    <row r="44" spans="1:14" ht="15.75" thickBot="1">
      <c r="A44" s="122" t="s">
        <v>7</v>
      </c>
      <c r="B44" s="127"/>
      <c r="C44" s="128"/>
      <c r="D44" s="128"/>
      <c r="E44" s="128"/>
      <c r="F44" s="128"/>
      <c r="G44" s="128"/>
      <c r="H44" s="121"/>
      <c r="I44" s="125"/>
      <c r="J44" s="129"/>
      <c r="K44" s="129"/>
      <c r="L44" s="129"/>
      <c r="M44" s="128"/>
      <c r="N44" s="337"/>
    </row>
    <row r="45" spans="1:14" ht="24.75" customHeight="1" thickBot="1">
      <c r="A45" s="288" t="s">
        <v>16</v>
      </c>
      <c r="B45" s="289" t="s">
        <v>161</v>
      </c>
      <c r="C45" s="290">
        <f>C46+C47+C58</f>
        <v>10395000</v>
      </c>
      <c r="D45" s="290">
        <f aca="true" t="shared" si="11" ref="D45:M45">D46+D47+D58</f>
        <v>9422000</v>
      </c>
      <c r="E45" s="290">
        <f t="shared" si="11"/>
        <v>0</v>
      </c>
      <c r="F45" s="290">
        <f t="shared" si="11"/>
        <v>0</v>
      </c>
      <c r="G45" s="290">
        <f t="shared" si="11"/>
        <v>0</v>
      </c>
      <c r="H45" s="290">
        <f t="shared" si="11"/>
        <v>0</v>
      </c>
      <c r="I45" s="290">
        <f t="shared" si="11"/>
        <v>0</v>
      </c>
      <c r="J45" s="290">
        <f t="shared" si="11"/>
        <v>9135397</v>
      </c>
      <c r="K45" s="290">
        <f t="shared" si="11"/>
        <v>9135397</v>
      </c>
      <c r="L45" s="290">
        <f t="shared" si="11"/>
        <v>7666466</v>
      </c>
      <c r="M45" s="290">
        <f t="shared" si="11"/>
        <v>1468931</v>
      </c>
      <c r="N45" s="291">
        <f>L45/C45</f>
        <v>0.7375147667147667</v>
      </c>
    </row>
    <row r="46" spans="1:14" ht="15">
      <c r="A46" s="285" t="s">
        <v>149</v>
      </c>
      <c r="B46" s="295" t="s">
        <v>21</v>
      </c>
      <c r="C46" s="286">
        <v>9460000</v>
      </c>
      <c r="D46" s="286">
        <f>9460000-910000</f>
        <v>8550000</v>
      </c>
      <c r="E46" s="286"/>
      <c r="F46" s="286"/>
      <c r="G46" s="286"/>
      <c r="H46" s="286"/>
      <c r="I46" s="286"/>
      <c r="J46" s="296">
        <v>8550000</v>
      </c>
      <c r="K46" s="297">
        <v>8550000</v>
      </c>
      <c r="L46" s="286">
        <v>7099533</v>
      </c>
      <c r="M46" s="286">
        <f>J46-L46</f>
        <v>1450467</v>
      </c>
      <c r="N46" s="335">
        <f>L46/C46</f>
        <v>0.7504791754756871</v>
      </c>
    </row>
    <row r="47" spans="1:14" ht="14.25">
      <c r="A47" s="115" t="s">
        <v>164</v>
      </c>
      <c r="B47" s="138"/>
      <c r="C47" s="139">
        <f>C48+C49</f>
        <v>935000</v>
      </c>
      <c r="D47" s="139">
        <f aca="true" t="shared" si="12" ref="D47:M47">D48+D49</f>
        <v>872000</v>
      </c>
      <c r="E47" s="139">
        <f t="shared" si="12"/>
        <v>0</v>
      </c>
      <c r="F47" s="139">
        <f t="shared" si="12"/>
        <v>0</v>
      </c>
      <c r="G47" s="139">
        <f t="shared" si="12"/>
        <v>0</v>
      </c>
      <c r="H47" s="139">
        <f t="shared" si="12"/>
        <v>0</v>
      </c>
      <c r="I47" s="139">
        <f t="shared" si="12"/>
        <v>0</v>
      </c>
      <c r="J47" s="139">
        <f t="shared" si="12"/>
        <v>656242</v>
      </c>
      <c r="K47" s="139">
        <f t="shared" si="12"/>
        <v>656242</v>
      </c>
      <c r="L47" s="139">
        <f t="shared" si="12"/>
        <v>637778</v>
      </c>
      <c r="M47" s="139">
        <f t="shared" si="12"/>
        <v>18464</v>
      </c>
      <c r="N47" s="341">
        <f>L47/C47</f>
        <v>0.6821155080213904</v>
      </c>
    </row>
    <row r="48" spans="1:14" ht="15">
      <c r="A48" s="140" t="s">
        <v>17</v>
      </c>
      <c r="B48" s="138" t="s">
        <v>21</v>
      </c>
      <c r="C48" s="116">
        <v>885000</v>
      </c>
      <c r="D48" s="116">
        <v>830000</v>
      </c>
      <c r="E48" s="116"/>
      <c r="F48" s="116"/>
      <c r="G48" s="117"/>
      <c r="H48" s="334"/>
      <c r="I48" s="334"/>
      <c r="J48" s="118">
        <v>615038</v>
      </c>
      <c r="K48" s="118">
        <v>615038</v>
      </c>
      <c r="L48" s="116">
        <v>605793</v>
      </c>
      <c r="M48" s="116">
        <f>J48-L48</f>
        <v>9245</v>
      </c>
      <c r="N48" s="336">
        <f>L48/C48</f>
        <v>0.6845118644067797</v>
      </c>
    </row>
    <row r="49" spans="1:14" ht="15">
      <c r="A49" s="140" t="s">
        <v>18</v>
      </c>
      <c r="B49" s="138" t="s">
        <v>22</v>
      </c>
      <c r="C49" s="116">
        <v>50000</v>
      </c>
      <c r="D49" s="116">
        <v>42000</v>
      </c>
      <c r="E49" s="116"/>
      <c r="F49" s="116"/>
      <c r="G49" s="117"/>
      <c r="H49" s="334"/>
      <c r="I49" s="334"/>
      <c r="J49" s="116">
        <v>41204</v>
      </c>
      <c r="K49" s="116">
        <v>41204</v>
      </c>
      <c r="L49" s="116">
        <v>31985</v>
      </c>
      <c r="M49" s="116">
        <f>J49-L49</f>
        <v>9219</v>
      </c>
      <c r="N49" s="336">
        <f>L49/C49</f>
        <v>0.6397</v>
      </c>
    </row>
    <row r="50" spans="1:14" ht="15" hidden="1">
      <c r="A50" s="115" t="s">
        <v>0</v>
      </c>
      <c r="B50" s="119"/>
      <c r="C50" s="116">
        <f aca="true" t="shared" si="13" ref="C50:C57">D50+E50+F50+G50</f>
        <v>0</v>
      </c>
      <c r="D50" s="116"/>
      <c r="E50" s="116"/>
      <c r="F50" s="116"/>
      <c r="G50" s="117"/>
      <c r="H50" s="334"/>
      <c r="I50" s="334"/>
      <c r="J50" s="116"/>
      <c r="K50" s="116"/>
      <c r="L50" s="116"/>
      <c r="M50" s="116"/>
      <c r="N50" s="336"/>
    </row>
    <row r="51" spans="1:14" ht="15" hidden="1">
      <c r="A51" s="115" t="s">
        <v>1</v>
      </c>
      <c r="B51" s="119"/>
      <c r="C51" s="116">
        <f t="shared" si="13"/>
        <v>0</v>
      </c>
      <c r="D51" s="116"/>
      <c r="E51" s="116"/>
      <c r="F51" s="116"/>
      <c r="G51" s="117"/>
      <c r="H51" s="334"/>
      <c r="I51" s="334"/>
      <c r="J51" s="116"/>
      <c r="K51" s="116"/>
      <c r="L51" s="116"/>
      <c r="M51" s="116"/>
      <c r="N51" s="336"/>
    </row>
    <row r="52" spans="1:14" ht="15" hidden="1">
      <c r="A52" s="115" t="s">
        <v>148</v>
      </c>
      <c r="B52" s="119"/>
      <c r="C52" s="116">
        <f t="shared" si="13"/>
        <v>0</v>
      </c>
      <c r="D52" s="116"/>
      <c r="E52" s="116"/>
      <c r="F52" s="116"/>
      <c r="G52" s="117"/>
      <c r="H52" s="334"/>
      <c r="I52" s="334"/>
      <c r="J52" s="116"/>
      <c r="K52" s="116"/>
      <c r="L52" s="116"/>
      <c r="M52" s="116"/>
      <c r="N52" s="336"/>
    </row>
    <row r="53" spans="1:14" ht="15" hidden="1">
      <c r="A53" s="115" t="s">
        <v>2</v>
      </c>
      <c r="B53" s="119"/>
      <c r="C53" s="116">
        <f t="shared" si="13"/>
        <v>0</v>
      </c>
      <c r="D53" s="116"/>
      <c r="E53" s="116"/>
      <c r="F53" s="116"/>
      <c r="G53" s="117"/>
      <c r="H53" s="334"/>
      <c r="I53" s="334"/>
      <c r="J53" s="116"/>
      <c r="K53" s="116"/>
      <c r="L53" s="116"/>
      <c r="M53" s="116"/>
      <c r="N53" s="336"/>
    </row>
    <row r="54" spans="1:14" ht="15" hidden="1">
      <c r="A54" s="115" t="s">
        <v>3</v>
      </c>
      <c r="B54" s="119"/>
      <c r="C54" s="116">
        <f t="shared" si="13"/>
        <v>0</v>
      </c>
      <c r="D54" s="116"/>
      <c r="E54" s="116"/>
      <c r="F54" s="116"/>
      <c r="G54" s="117"/>
      <c r="H54" s="334"/>
      <c r="I54" s="334"/>
      <c r="J54" s="116"/>
      <c r="K54" s="116"/>
      <c r="L54" s="116"/>
      <c r="M54" s="116"/>
      <c r="N54" s="336"/>
    </row>
    <row r="55" spans="1:14" ht="15" hidden="1">
      <c r="A55" s="115" t="s">
        <v>4</v>
      </c>
      <c r="B55" s="119"/>
      <c r="C55" s="116">
        <f t="shared" si="13"/>
        <v>0</v>
      </c>
      <c r="D55" s="116"/>
      <c r="E55" s="116"/>
      <c r="F55" s="116"/>
      <c r="G55" s="117"/>
      <c r="H55" s="334"/>
      <c r="I55" s="334"/>
      <c r="J55" s="116"/>
      <c r="K55" s="116"/>
      <c r="L55" s="116"/>
      <c r="M55" s="116"/>
      <c r="N55" s="336"/>
    </row>
    <row r="56" spans="1:14" ht="15" hidden="1">
      <c r="A56" s="115" t="s">
        <v>5</v>
      </c>
      <c r="B56" s="119"/>
      <c r="C56" s="116">
        <f t="shared" si="13"/>
        <v>0</v>
      </c>
      <c r="D56" s="116"/>
      <c r="E56" s="116"/>
      <c r="F56" s="116"/>
      <c r="G56" s="117"/>
      <c r="H56" s="334"/>
      <c r="I56" s="334"/>
      <c r="J56" s="116"/>
      <c r="K56" s="116"/>
      <c r="L56" s="116"/>
      <c r="M56" s="116"/>
      <c r="N56" s="336"/>
    </row>
    <row r="57" spans="1:14" ht="15" hidden="1">
      <c r="A57" s="115" t="s">
        <v>6</v>
      </c>
      <c r="B57" s="119"/>
      <c r="C57" s="116">
        <f t="shared" si="13"/>
        <v>0</v>
      </c>
      <c r="D57" s="116"/>
      <c r="E57" s="116"/>
      <c r="F57" s="116"/>
      <c r="G57" s="117"/>
      <c r="H57" s="334"/>
      <c r="I57" s="334"/>
      <c r="J57" s="116"/>
      <c r="K57" s="116"/>
      <c r="L57" s="116"/>
      <c r="M57" s="116"/>
      <c r="N57" s="336"/>
    </row>
    <row r="58" spans="1:14" ht="15">
      <c r="A58" s="122" t="s">
        <v>7</v>
      </c>
      <c r="B58" s="119"/>
      <c r="C58" s="116"/>
      <c r="D58" s="116"/>
      <c r="E58" s="116"/>
      <c r="F58" s="116"/>
      <c r="G58" s="117"/>
      <c r="H58" s="334"/>
      <c r="I58" s="334"/>
      <c r="J58" s="123">
        <f>K58</f>
        <v>-70845</v>
      </c>
      <c r="K58" s="123">
        <f>L58</f>
        <v>-70845</v>
      </c>
      <c r="L58" s="123">
        <v>-70845</v>
      </c>
      <c r="M58" s="116"/>
      <c r="N58" s="336"/>
    </row>
    <row r="59" spans="1:14" ht="15">
      <c r="A59" s="124" t="s">
        <v>8</v>
      </c>
      <c r="B59" s="119"/>
      <c r="C59" s="116"/>
      <c r="D59" s="116"/>
      <c r="E59" s="116"/>
      <c r="F59" s="116"/>
      <c r="G59" s="117"/>
      <c r="H59" s="334"/>
      <c r="I59" s="334"/>
      <c r="J59" s="116"/>
      <c r="K59" s="116"/>
      <c r="L59" s="116"/>
      <c r="M59" s="116"/>
      <c r="N59" s="336"/>
    </row>
    <row r="60" spans="1:14" ht="15">
      <c r="A60" s="131" t="s">
        <v>17</v>
      </c>
      <c r="B60" s="127" t="s">
        <v>21</v>
      </c>
      <c r="C60" s="128">
        <f>C48+C46</f>
        <v>10345000</v>
      </c>
      <c r="D60" s="128">
        <f>D48+D46</f>
        <v>9380000</v>
      </c>
      <c r="E60" s="128">
        <f>E46+E48</f>
        <v>0</v>
      </c>
      <c r="F60" s="128">
        <f>F46+F48</f>
        <v>0</v>
      </c>
      <c r="G60" s="141">
        <f>G46+G48</f>
        <v>0</v>
      </c>
      <c r="H60" s="437" t="s">
        <v>114</v>
      </c>
      <c r="I60" s="438"/>
      <c r="J60" s="128">
        <f>J48+J46</f>
        <v>9165038</v>
      </c>
      <c r="K60" s="128">
        <f>K48+K46</f>
        <v>9165038</v>
      </c>
      <c r="L60" s="128">
        <f>L48+L46</f>
        <v>7705326</v>
      </c>
      <c r="M60" s="128">
        <f>J60-L60</f>
        <v>1459712</v>
      </c>
      <c r="N60" s="337">
        <f>L60/C60</f>
        <v>0.7448357660705655</v>
      </c>
    </row>
    <row r="61" spans="1:14" ht="14.25">
      <c r="A61" s="131" t="s">
        <v>19</v>
      </c>
      <c r="B61" s="127" t="s">
        <v>22</v>
      </c>
      <c r="C61" s="128">
        <f>C49</f>
        <v>50000</v>
      </c>
      <c r="D61" s="128">
        <f aca="true" t="shared" si="14" ref="D61:M61">D49</f>
        <v>42000</v>
      </c>
      <c r="E61" s="128">
        <f t="shared" si="14"/>
        <v>0</v>
      </c>
      <c r="F61" s="128">
        <f t="shared" si="14"/>
        <v>0</v>
      </c>
      <c r="G61" s="128">
        <f t="shared" si="14"/>
        <v>0</v>
      </c>
      <c r="H61" s="128">
        <f t="shared" si="14"/>
        <v>0</v>
      </c>
      <c r="I61" s="128">
        <f t="shared" si="14"/>
        <v>0</v>
      </c>
      <c r="J61" s="128">
        <f t="shared" si="14"/>
        <v>41204</v>
      </c>
      <c r="K61" s="128">
        <f t="shared" si="14"/>
        <v>41204</v>
      </c>
      <c r="L61" s="128">
        <f t="shared" si="14"/>
        <v>31985</v>
      </c>
      <c r="M61" s="128">
        <f t="shared" si="14"/>
        <v>9219</v>
      </c>
      <c r="N61" s="337">
        <f>L61/C61</f>
        <v>0.6397</v>
      </c>
    </row>
    <row r="62" spans="1:14" ht="15">
      <c r="A62" s="126" t="s">
        <v>20</v>
      </c>
      <c r="B62" s="127" t="s">
        <v>23</v>
      </c>
      <c r="C62" s="128">
        <f>D62+E62+F62+G62</f>
        <v>0</v>
      </c>
      <c r="D62" s="128"/>
      <c r="E62" s="128"/>
      <c r="F62" s="128"/>
      <c r="G62" s="128"/>
      <c r="H62" s="121" t="s">
        <v>107</v>
      </c>
      <c r="I62" s="125">
        <f>C60+C61+C62</f>
        <v>10395000</v>
      </c>
      <c r="J62" s="128"/>
      <c r="K62" s="128"/>
      <c r="L62" s="128"/>
      <c r="M62" s="128">
        <f>J62-L62</f>
        <v>0</v>
      </c>
      <c r="N62" s="337"/>
    </row>
    <row r="63" spans="1:14" ht="15.75" thickBot="1">
      <c r="A63" s="292" t="s">
        <v>7</v>
      </c>
      <c r="B63" s="177"/>
      <c r="C63" s="165"/>
      <c r="D63" s="165"/>
      <c r="E63" s="165"/>
      <c r="F63" s="165"/>
      <c r="G63" s="165"/>
      <c r="H63" s="293"/>
      <c r="I63" s="180"/>
      <c r="J63" s="167">
        <f>J58</f>
        <v>-70845</v>
      </c>
      <c r="K63" s="167">
        <f>K58</f>
        <v>-70845</v>
      </c>
      <c r="L63" s="167">
        <f>L58</f>
        <v>-70845</v>
      </c>
      <c r="M63" s="165"/>
      <c r="N63" s="338"/>
    </row>
    <row r="64" spans="1:15" ht="24.75" customHeight="1" thickBot="1">
      <c r="A64" s="288" t="s">
        <v>25</v>
      </c>
      <c r="B64" s="289" t="s">
        <v>161</v>
      </c>
      <c r="C64" s="290">
        <f>C65+C66+C71+C72+C75+C70</f>
        <v>39253631</v>
      </c>
      <c r="D64" s="290">
        <f aca="true" t="shared" si="15" ref="D64:M64">D65+D66+D71+D72+D75+D70</f>
        <v>32719717</v>
      </c>
      <c r="E64" s="290">
        <f t="shared" si="15"/>
        <v>0</v>
      </c>
      <c r="F64" s="290">
        <f t="shared" si="15"/>
        <v>0</v>
      </c>
      <c r="G64" s="290">
        <f t="shared" si="15"/>
        <v>0</v>
      </c>
      <c r="H64" s="290">
        <f t="shared" si="15"/>
        <v>0</v>
      </c>
      <c r="I64" s="290">
        <f t="shared" si="15"/>
        <v>0</v>
      </c>
      <c r="J64" s="290">
        <f t="shared" si="15"/>
        <v>25464726</v>
      </c>
      <c r="K64" s="290">
        <f t="shared" si="15"/>
        <v>25464726</v>
      </c>
      <c r="L64" s="290">
        <f t="shared" si="15"/>
        <v>24175242</v>
      </c>
      <c r="M64" s="290">
        <f t="shared" si="15"/>
        <v>1289484</v>
      </c>
      <c r="N64" s="291">
        <f>L64/C64</f>
        <v>0.6158727583697926</v>
      </c>
      <c r="O64" s="169"/>
    </row>
    <row r="65" spans="1:15" ht="15">
      <c r="A65" s="386" t="s">
        <v>277</v>
      </c>
      <c r="B65" s="294"/>
      <c r="C65" s="286">
        <v>2250000</v>
      </c>
      <c r="D65" s="286">
        <f>2250000-717000</f>
        <v>1533000</v>
      </c>
      <c r="E65" s="286"/>
      <c r="F65" s="286"/>
      <c r="G65" s="287"/>
      <c r="H65" s="334"/>
      <c r="I65" s="334"/>
      <c r="J65" s="286">
        <v>1533000</v>
      </c>
      <c r="K65" s="286">
        <v>1533000</v>
      </c>
      <c r="L65" s="286">
        <v>665468</v>
      </c>
      <c r="M65" s="286">
        <f aca="true" t="shared" si="16" ref="M65:M72">J65-L65</f>
        <v>867532</v>
      </c>
      <c r="N65" s="335">
        <f>M65/C65</f>
        <v>0.3855697777777778</v>
      </c>
      <c r="O65" s="169"/>
    </row>
    <row r="66" spans="1:15" ht="15">
      <c r="A66" s="381" t="s">
        <v>164</v>
      </c>
      <c r="B66" s="384" t="s">
        <v>276</v>
      </c>
      <c r="C66" s="382">
        <v>27605631</v>
      </c>
      <c r="D66" s="382">
        <f>27605631-5511054</f>
        <v>22094577</v>
      </c>
      <c r="E66" s="382">
        <f>E67+E68</f>
        <v>0</v>
      </c>
      <c r="F66" s="382">
        <f>F67+F68</f>
        <v>0</v>
      </c>
      <c r="G66" s="382">
        <f>G67+G68</f>
        <v>0</v>
      </c>
      <c r="H66" s="382">
        <f>H67+H68</f>
        <v>0</v>
      </c>
      <c r="I66" s="382">
        <f>I67+I68</f>
        <v>0</v>
      </c>
      <c r="J66" s="382">
        <v>15927822</v>
      </c>
      <c r="K66" s="382">
        <v>15927822</v>
      </c>
      <c r="L66" s="382">
        <v>15513943</v>
      </c>
      <c r="M66" s="382">
        <f t="shared" si="16"/>
        <v>413879</v>
      </c>
      <c r="N66" s="383">
        <f aca="true" t="shared" si="17" ref="N66:N72">L66/C66</f>
        <v>0.5619847269566126</v>
      </c>
      <c r="O66" s="169"/>
    </row>
    <row r="67" spans="1:15" ht="15" hidden="1">
      <c r="A67" s="385" t="s">
        <v>274</v>
      </c>
      <c r="B67" s="133"/>
      <c r="C67" s="116">
        <v>21800000</v>
      </c>
      <c r="D67" s="116">
        <v>10430595</v>
      </c>
      <c r="E67" s="116"/>
      <c r="F67" s="116"/>
      <c r="G67" s="117"/>
      <c r="H67" s="334"/>
      <c r="I67" s="334"/>
      <c r="J67" s="116"/>
      <c r="K67" s="116"/>
      <c r="L67" s="116"/>
      <c r="M67" s="116">
        <f t="shared" si="16"/>
        <v>0</v>
      </c>
      <c r="N67" s="336">
        <f t="shared" si="17"/>
        <v>0</v>
      </c>
      <c r="O67" s="169"/>
    </row>
    <row r="68" spans="1:15" ht="15" hidden="1">
      <c r="A68" s="385" t="s">
        <v>275</v>
      </c>
      <c r="B68" s="133"/>
      <c r="C68" s="116">
        <v>850000</v>
      </c>
      <c r="D68" s="116">
        <v>350000</v>
      </c>
      <c r="E68" s="116"/>
      <c r="F68" s="116"/>
      <c r="G68" s="117"/>
      <c r="H68" s="334"/>
      <c r="I68" s="334"/>
      <c r="J68" s="116"/>
      <c r="K68" s="116"/>
      <c r="L68" s="116"/>
      <c r="M68" s="116">
        <f t="shared" si="16"/>
        <v>0</v>
      </c>
      <c r="N68" s="336">
        <f t="shared" si="17"/>
        <v>0</v>
      </c>
      <c r="O68" s="169"/>
    </row>
    <row r="69" spans="1:15" ht="15" hidden="1">
      <c r="A69" s="115" t="s">
        <v>148</v>
      </c>
      <c r="B69" s="133"/>
      <c r="C69" s="116"/>
      <c r="D69" s="116"/>
      <c r="E69" s="116"/>
      <c r="F69" s="116"/>
      <c r="G69" s="117"/>
      <c r="H69" s="334"/>
      <c r="I69" s="334"/>
      <c r="J69" s="116"/>
      <c r="K69" s="116"/>
      <c r="L69" s="116"/>
      <c r="M69" s="116">
        <f t="shared" si="16"/>
        <v>0</v>
      </c>
      <c r="N69" s="336" t="e">
        <f t="shared" si="17"/>
        <v>#DIV/0!</v>
      </c>
      <c r="O69" s="169"/>
    </row>
    <row r="70" spans="1:15" ht="15">
      <c r="A70" s="115" t="s">
        <v>2</v>
      </c>
      <c r="B70" s="133"/>
      <c r="C70" s="116">
        <v>496000</v>
      </c>
      <c r="D70" s="116">
        <v>388000</v>
      </c>
      <c r="E70" s="116"/>
      <c r="F70" s="116"/>
      <c r="G70" s="117"/>
      <c r="H70" s="334"/>
      <c r="I70" s="334"/>
      <c r="J70" s="116">
        <v>386460</v>
      </c>
      <c r="K70" s="116">
        <v>386460</v>
      </c>
      <c r="L70" s="116">
        <v>386460</v>
      </c>
      <c r="M70" s="116">
        <f t="shared" si="16"/>
        <v>0</v>
      </c>
      <c r="N70" s="336">
        <f t="shared" si="17"/>
        <v>0.7791532258064516</v>
      </c>
      <c r="O70" s="169"/>
    </row>
    <row r="71" spans="1:15" ht="15">
      <c r="A71" s="115" t="s">
        <v>3</v>
      </c>
      <c r="B71" s="133"/>
      <c r="C71" s="116">
        <v>1099000</v>
      </c>
      <c r="D71" s="116">
        <v>931140</v>
      </c>
      <c r="E71" s="116"/>
      <c r="F71" s="116"/>
      <c r="G71" s="117"/>
      <c r="H71" s="334"/>
      <c r="I71" s="334"/>
      <c r="J71" s="116">
        <v>526549</v>
      </c>
      <c r="K71" s="116">
        <v>526549</v>
      </c>
      <c r="L71" s="116">
        <v>526549</v>
      </c>
      <c r="M71" s="116">
        <f t="shared" si="16"/>
        <v>0</v>
      </c>
      <c r="N71" s="336">
        <f t="shared" si="17"/>
        <v>0.4791164695177434</v>
      </c>
      <c r="O71" s="169"/>
    </row>
    <row r="72" spans="1:15" ht="15">
      <c r="A72" s="377" t="s">
        <v>271</v>
      </c>
      <c r="B72" s="378"/>
      <c r="C72" s="379">
        <v>7803000</v>
      </c>
      <c r="D72" s="379">
        <v>7773000</v>
      </c>
      <c r="E72" s="379">
        <f>E73+E74</f>
        <v>0</v>
      </c>
      <c r="F72" s="379">
        <f>F73+F74</f>
        <v>0</v>
      </c>
      <c r="G72" s="379">
        <f>G73+G74</f>
        <v>0</v>
      </c>
      <c r="H72" s="379">
        <f>H73+H74</f>
        <v>0</v>
      </c>
      <c r="I72" s="379">
        <f>I73+I74</f>
        <v>0</v>
      </c>
      <c r="J72" s="379">
        <v>7110857</v>
      </c>
      <c r="K72" s="379">
        <v>7110857</v>
      </c>
      <c r="L72" s="379">
        <v>7102784</v>
      </c>
      <c r="M72" s="379">
        <f t="shared" si="16"/>
        <v>8073</v>
      </c>
      <c r="N72" s="380">
        <f t="shared" si="17"/>
        <v>0.9102632320902218</v>
      </c>
      <c r="O72" s="169"/>
    </row>
    <row r="73" spans="1:15" ht="15" hidden="1">
      <c r="A73" s="376" t="s">
        <v>272</v>
      </c>
      <c r="B73" s="133"/>
      <c r="C73" s="116">
        <v>4697000</v>
      </c>
      <c r="D73" s="116">
        <v>4697000</v>
      </c>
      <c r="E73" s="116"/>
      <c r="F73" s="116"/>
      <c r="G73" s="117"/>
      <c r="H73" s="334"/>
      <c r="I73" s="334"/>
      <c r="J73" s="116"/>
      <c r="K73" s="116"/>
      <c r="L73" s="116"/>
      <c r="M73" s="116"/>
      <c r="N73" s="336"/>
      <c r="O73" s="169"/>
    </row>
    <row r="74" spans="1:15" ht="15" hidden="1">
      <c r="A74" s="376" t="s">
        <v>273</v>
      </c>
      <c r="B74" s="133"/>
      <c r="C74" s="116">
        <v>70000</v>
      </c>
      <c r="D74" s="116">
        <v>15000</v>
      </c>
      <c r="E74" s="116"/>
      <c r="F74" s="116"/>
      <c r="G74" s="117"/>
      <c r="H74" s="334"/>
      <c r="I74" s="334"/>
      <c r="J74" s="116">
        <v>0</v>
      </c>
      <c r="K74" s="116"/>
      <c r="L74" s="116"/>
      <c r="M74" s="116"/>
      <c r="N74" s="336"/>
      <c r="O74" s="169"/>
    </row>
    <row r="75" spans="1:15" ht="15">
      <c r="A75" s="122" t="s">
        <v>7</v>
      </c>
      <c r="B75" s="133"/>
      <c r="C75" s="116"/>
      <c r="D75" s="116"/>
      <c r="E75" s="116"/>
      <c r="F75" s="116"/>
      <c r="G75" s="117"/>
      <c r="H75" s="334"/>
      <c r="I75" s="334"/>
      <c r="J75" s="142">
        <f>K75</f>
        <v>-19962</v>
      </c>
      <c r="K75" s="142">
        <f>L75</f>
        <v>-19962</v>
      </c>
      <c r="L75" s="142">
        <v>-19962</v>
      </c>
      <c r="M75" s="116"/>
      <c r="N75" s="336"/>
      <c r="O75" s="169"/>
    </row>
    <row r="76" spans="1:15" ht="15">
      <c r="A76" s="124" t="s">
        <v>8</v>
      </c>
      <c r="B76" s="133"/>
      <c r="C76" s="116"/>
      <c r="D76" s="116"/>
      <c r="E76" s="116"/>
      <c r="F76" s="116"/>
      <c r="G76" s="117"/>
      <c r="H76" s="334"/>
      <c r="I76" s="334"/>
      <c r="J76" s="116"/>
      <c r="K76" s="116"/>
      <c r="L76" s="116"/>
      <c r="M76" s="116"/>
      <c r="N76" s="336"/>
      <c r="O76" s="169"/>
    </row>
    <row r="77" spans="1:15" ht="14.25">
      <c r="A77" s="6" t="s">
        <v>278</v>
      </c>
      <c r="B77" s="387" t="s">
        <v>263</v>
      </c>
      <c r="C77" s="128">
        <v>3370000</v>
      </c>
      <c r="D77" s="128">
        <f>3370000-782000</f>
        <v>2588000</v>
      </c>
      <c r="E77" s="128">
        <f>E74+E68+E65</f>
        <v>0</v>
      </c>
      <c r="F77" s="128">
        <f>F74+F68+F65</f>
        <v>0</v>
      </c>
      <c r="G77" s="128">
        <f>G74+G68+G65</f>
        <v>0</v>
      </c>
      <c r="H77" s="128">
        <f>H74+H68+H65</f>
        <v>0</v>
      </c>
      <c r="I77" s="128">
        <f>I74+I68+I65</f>
        <v>0</v>
      </c>
      <c r="J77" s="128">
        <v>2298240</v>
      </c>
      <c r="K77" s="128">
        <v>2298240</v>
      </c>
      <c r="L77" s="128">
        <v>1430708</v>
      </c>
      <c r="M77" s="128">
        <f>J77-L77</f>
        <v>867532</v>
      </c>
      <c r="N77" s="337">
        <f>L77/C77</f>
        <v>0.42454243323442137</v>
      </c>
      <c r="O77" s="169"/>
    </row>
    <row r="78" spans="1:15" ht="15">
      <c r="A78" s="6" t="s">
        <v>279</v>
      </c>
      <c r="B78" s="143" t="s">
        <v>29</v>
      </c>
      <c r="C78" s="128">
        <v>5127806</v>
      </c>
      <c r="D78" s="128">
        <f>5127806-862659</f>
        <v>4265147</v>
      </c>
      <c r="E78" s="128"/>
      <c r="F78" s="128"/>
      <c r="G78" s="141"/>
      <c r="H78" s="334"/>
      <c r="I78" s="334"/>
      <c r="J78" s="128">
        <v>2713109</v>
      </c>
      <c r="K78" s="128">
        <v>2713109</v>
      </c>
      <c r="L78" s="128">
        <v>2616155</v>
      </c>
      <c r="M78" s="128">
        <f>J78-L78</f>
        <v>96954</v>
      </c>
      <c r="N78" s="337">
        <f>L78/C78</f>
        <v>0.5101899330824918</v>
      </c>
      <c r="O78" s="169"/>
    </row>
    <row r="79" spans="1:14" ht="15">
      <c r="A79" s="131" t="s">
        <v>204</v>
      </c>
      <c r="B79" s="127" t="s">
        <v>208</v>
      </c>
      <c r="C79" s="128">
        <v>1110034</v>
      </c>
      <c r="D79" s="128">
        <f>1110034-148379</f>
        <v>961655</v>
      </c>
      <c r="E79" s="128"/>
      <c r="F79" s="128"/>
      <c r="G79" s="141"/>
      <c r="H79" s="437"/>
      <c r="I79" s="438"/>
      <c r="J79" s="128">
        <v>436679</v>
      </c>
      <c r="K79" s="128">
        <v>436679</v>
      </c>
      <c r="L79" s="128">
        <v>436679</v>
      </c>
      <c r="M79" s="128">
        <f aca="true" t="shared" si="18" ref="M79:M86">J79-L79</f>
        <v>0</v>
      </c>
      <c r="N79" s="337">
        <f aca="true" t="shared" si="19" ref="N79:N85">L79/C79</f>
        <v>0.3933924546455334</v>
      </c>
    </row>
    <row r="80" spans="1:14" ht="15">
      <c r="A80" s="6" t="s">
        <v>241</v>
      </c>
      <c r="B80" s="127" t="s">
        <v>188</v>
      </c>
      <c r="C80" s="128">
        <v>8374382</v>
      </c>
      <c r="D80" s="128">
        <f>8374382-1478187</f>
        <v>6896195</v>
      </c>
      <c r="E80" s="128"/>
      <c r="F80" s="128"/>
      <c r="G80" s="141"/>
      <c r="H80" s="120"/>
      <c r="I80" s="125"/>
      <c r="J80" s="128">
        <v>5492434</v>
      </c>
      <c r="K80" s="128">
        <v>5492434</v>
      </c>
      <c r="L80" s="128">
        <v>5481188</v>
      </c>
      <c r="M80" s="128">
        <f t="shared" si="18"/>
        <v>11246</v>
      </c>
      <c r="N80" s="337">
        <f t="shared" si="19"/>
        <v>0.6545185065596483</v>
      </c>
    </row>
    <row r="81" spans="1:14" ht="15">
      <c r="A81" s="5" t="s">
        <v>242</v>
      </c>
      <c r="B81" s="127" t="s">
        <v>30</v>
      </c>
      <c r="C81" s="128">
        <v>21241409</v>
      </c>
      <c r="D81" s="128">
        <f>21241409-3256689</f>
        <v>17984720</v>
      </c>
      <c r="E81" s="128"/>
      <c r="F81" s="128"/>
      <c r="G81" s="128"/>
      <c r="H81" s="121"/>
      <c r="I81" s="125"/>
      <c r="J81" s="128">
        <v>14509554</v>
      </c>
      <c r="K81" s="128">
        <v>14509554</v>
      </c>
      <c r="L81" s="128">
        <v>14195802</v>
      </c>
      <c r="M81" s="128">
        <f t="shared" si="18"/>
        <v>313752</v>
      </c>
      <c r="N81" s="337">
        <f t="shared" si="19"/>
        <v>0.6683079262773952</v>
      </c>
    </row>
    <row r="82" spans="1:14" ht="15" hidden="1">
      <c r="A82" s="126" t="s">
        <v>205</v>
      </c>
      <c r="B82" s="127" t="s">
        <v>209</v>
      </c>
      <c r="C82" s="128"/>
      <c r="D82" s="128"/>
      <c r="E82" s="128"/>
      <c r="F82" s="128"/>
      <c r="G82" s="128"/>
      <c r="H82" s="121"/>
      <c r="I82" s="125"/>
      <c r="J82" s="128"/>
      <c r="K82" s="128"/>
      <c r="L82" s="128"/>
      <c r="M82" s="128">
        <f t="shared" si="18"/>
        <v>0</v>
      </c>
      <c r="N82" s="337"/>
    </row>
    <row r="83" spans="1:14" ht="15" hidden="1">
      <c r="A83" s="126" t="s">
        <v>206</v>
      </c>
      <c r="B83" s="127" t="s">
        <v>210</v>
      </c>
      <c r="C83" s="128"/>
      <c r="D83" s="128"/>
      <c r="E83" s="128"/>
      <c r="F83" s="128"/>
      <c r="G83" s="128"/>
      <c r="H83" s="121"/>
      <c r="I83" s="125"/>
      <c r="J83" s="128"/>
      <c r="K83" s="128"/>
      <c r="L83" s="128"/>
      <c r="M83" s="128">
        <f t="shared" si="18"/>
        <v>0</v>
      </c>
      <c r="N83" s="337" t="e">
        <f t="shared" si="19"/>
        <v>#DIV/0!</v>
      </c>
    </row>
    <row r="84" spans="1:14" ht="15" hidden="1">
      <c r="A84" s="126" t="s">
        <v>207</v>
      </c>
      <c r="B84" s="127" t="s">
        <v>211</v>
      </c>
      <c r="C84" s="128"/>
      <c r="D84" s="128"/>
      <c r="E84" s="128"/>
      <c r="F84" s="128"/>
      <c r="G84" s="128"/>
      <c r="H84" s="121"/>
      <c r="I84" s="125"/>
      <c r="J84" s="128"/>
      <c r="K84" s="128"/>
      <c r="L84" s="128"/>
      <c r="M84" s="128">
        <f t="shared" si="18"/>
        <v>0</v>
      </c>
      <c r="N84" s="337" t="e">
        <f t="shared" si="19"/>
        <v>#DIV/0!</v>
      </c>
    </row>
    <row r="85" spans="1:14" ht="15">
      <c r="A85" s="5" t="s">
        <v>269</v>
      </c>
      <c r="B85" s="127" t="s">
        <v>31</v>
      </c>
      <c r="C85" s="128">
        <v>30000</v>
      </c>
      <c r="D85" s="128">
        <v>24000</v>
      </c>
      <c r="E85" s="128"/>
      <c r="F85" s="128"/>
      <c r="G85" s="128"/>
      <c r="H85" s="121"/>
      <c r="I85" s="125"/>
      <c r="J85" s="128">
        <v>14710</v>
      </c>
      <c r="K85" s="128">
        <v>14710</v>
      </c>
      <c r="L85" s="128">
        <v>14710</v>
      </c>
      <c r="M85" s="128">
        <f t="shared" si="18"/>
        <v>0</v>
      </c>
      <c r="N85" s="337">
        <f t="shared" si="19"/>
        <v>0.49033333333333334</v>
      </c>
    </row>
    <row r="86" spans="1:14" ht="15.75" thickBot="1">
      <c r="A86" s="292" t="s">
        <v>7</v>
      </c>
      <c r="B86" s="177"/>
      <c r="C86" s="167"/>
      <c r="D86" s="167"/>
      <c r="E86" s="167"/>
      <c r="F86" s="167"/>
      <c r="G86" s="167"/>
      <c r="H86" s="298"/>
      <c r="I86" s="299"/>
      <c r="J86" s="167"/>
      <c r="K86" s="167"/>
      <c r="L86" s="167"/>
      <c r="M86" s="167">
        <f t="shared" si="18"/>
        <v>0</v>
      </c>
      <c r="N86" s="342"/>
    </row>
    <row r="87" spans="1:14" ht="24.75" customHeight="1" thickBot="1">
      <c r="A87" s="288" t="s">
        <v>26</v>
      </c>
      <c r="B87" s="289" t="s">
        <v>161</v>
      </c>
      <c r="C87" s="290">
        <f>C88+C91+C103+C100</f>
        <v>7995000</v>
      </c>
      <c r="D87" s="290">
        <f aca="true" t="shared" si="20" ref="D87:M87">D88+D91+D103+D100</f>
        <v>6195000</v>
      </c>
      <c r="E87" s="290">
        <f t="shared" si="20"/>
        <v>0</v>
      </c>
      <c r="F87" s="290">
        <f t="shared" si="20"/>
        <v>0</v>
      </c>
      <c r="G87" s="290">
        <f t="shared" si="20"/>
        <v>0</v>
      </c>
      <c r="H87" s="290">
        <f t="shared" si="20"/>
        <v>0</v>
      </c>
      <c r="I87" s="290">
        <f t="shared" si="20"/>
        <v>0</v>
      </c>
      <c r="J87" s="290">
        <f t="shared" si="20"/>
        <v>6372819</v>
      </c>
      <c r="K87" s="290">
        <f t="shared" si="20"/>
        <v>6369819</v>
      </c>
      <c r="L87" s="290">
        <f t="shared" si="20"/>
        <v>3852269</v>
      </c>
      <c r="M87" s="290">
        <f t="shared" si="20"/>
        <v>2520550</v>
      </c>
      <c r="N87" s="291">
        <f>L87/C87</f>
        <v>0.4818347717323327</v>
      </c>
    </row>
    <row r="88" spans="1:14" ht="15">
      <c r="A88" s="359" t="s">
        <v>256</v>
      </c>
      <c r="B88" s="301"/>
      <c r="C88" s="302">
        <f>C89+C90</f>
        <v>7340000</v>
      </c>
      <c r="D88" s="302">
        <f aca="true" t="shared" si="21" ref="D88:M88">D89+D90</f>
        <v>5585000</v>
      </c>
      <c r="E88" s="302">
        <f t="shared" si="21"/>
        <v>0</v>
      </c>
      <c r="F88" s="302">
        <f t="shared" si="21"/>
        <v>0</v>
      </c>
      <c r="G88" s="302">
        <f t="shared" si="21"/>
        <v>0</v>
      </c>
      <c r="H88" s="302">
        <f t="shared" si="21"/>
        <v>0</v>
      </c>
      <c r="I88" s="302">
        <f t="shared" si="21"/>
        <v>0</v>
      </c>
      <c r="J88" s="302">
        <f t="shared" si="21"/>
        <v>6038000</v>
      </c>
      <c r="K88" s="302">
        <f t="shared" si="21"/>
        <v>6035000</v>
      </c>
      <c r="L88" s="302">
        <f t="shared" si="21"/>
        <v>3593572</v>
      </c>
      <c r="M88" s="302">
        <f t="shared" si="21"/>
        <v>2444428</v>
      </c>
      <c r="N88" s="343">
        <f>L88/C88</f>
        <v>0.4895874659400545</v>
      </c>
    </row>
    <row r="89" spans="1:14" ht="15">
      <c r="A89" s="361" t="s">
        <v>257</v>
      </c>
      <c r="B89" s="360" t="s">
        <v>28</v>
      </c>
      <c r="C89" s="297">
        <v>4940000</v>
      </c>
      <c r="D89" s="297">
        <v>3635000</v>
      </c>
      <c r="E89" s="297"/>
      <c r="F89" s="297"/>
      <c r="G89" s="297"/>
      <c r="H89" s="297"/>
      <c r="I89" s="297"/>
      <c r="J89" s="297">
        <v>3638000</v>
      </c>
      <c r="K89" s="297">
        <v>3635000</v>
      </c>
      <c r="L89" s="297">
        <v>3199763</v>
      </c>
      <c r="M89" s="297">
        <f>J89-L89</f>
        <v>438237</v>
      </c>
      <c r="N89" s="358">
        <f>L89/C89</f>
        <v>0.6477253036437247</v>
      </c>
    </row>
    <row r="90" spans="1:14" ht="15">
      <c r="A90" s="361" t="s">
        <v>258</v>
      </c>
      <c r="B90" s="360" t="s">
        <v>254</v>
      </c>
      <c r="C90" s="297">
        <v>2400000</v>
      </c>
      <c r="D90" s="297">
        <v>1950000</v>
      </c>
      <c r="E90" s="297"/>
      <c r="F90" s="297"/>
      <c r="G90" s="297"/>
      <c r="H90" s="297"/>
      <c r="I90" s="297"/>
      <c r="J90" s="297">
        <v>2400000</v>
      </c>
      <c r="K90" s="297">
        <v>2400000</v>
      </c>
      <c r="L90" s="297">
        <v>393809</v>
      </c>
      <c r="M90" s="297">
        <f>J90-L90</f>
        <v>2006191</v>
      </c>
      <c r="N90" s="358">
        <f>L90/C90</f>
        <v>0.16408708333333333</v>
      </c>
    </row>
    <row r="91" spans="1:14" ht="14.25">
      <c r="A91" s="357" t="s">
        <v>259</v>
      </c>
      <c r="B91" s="145"/>
      <c r="C91" s="147">
        <f>C92+C93</f>
        <v>625000</v>
      </c>
      <c r="D91" s="147">
        <f aca="true" t="shared" si="22" ref="D91:M91">D92+D93</f>
        <v>585000</v>
      </c>
      <c r="E91" s="147">
        <f t="shared" si="22"/>
        <v>0</v>
      </c>
      <c r="F91" s="147">
        <f t="shared" si="22"/>
        <v>0</v>
      </c>
      <c r="G91" s="147">
        <f t="shared" si="22"/>
        <v>0</v>
      </c>
      <c r="H91" s="147">
        <f t="shared" si="22"/>
        <v>0</v>
      </c>
      <c r="I91" s="147">
        <f t="shared" si="22"/>
        <v>0</v>
      </c>
      <c r="J91" s="147">
        <f t="shared" si="22"/>
        <v>317459</v>
      </c>
      <c r="K91" s="147">
        <f t="shared" si="22"/>
        <v>317459</v>
      </c>
      <c r="L91" s="147">
        <f t="shared" si="22"/>
        <v>241337</v>
      </c>
      <c r="M91" s="147">
        <f t="shared" si="22"/>
        <v>76122</v>
      </c>
      <c r="N91" s="374">
        <f>L91/D91</f>
        <v>0.41254188034188033</v>
      </c>
    </row>
    <row r="92" spans="1:14" ht="15">
      <c r="A92" s="361" t="s">
        <v>257</v>
      </c>
      <c r="B92" s="232" t="s">
        <v>28</v>
      </c>
      <c r="C92" s="364">
        <v>230000</v>
      </c>
      <c r="D92" s="364">
        <v>230000</v>
      </c>
      <c r="E92" s="364"/>
      <c r="F92" s="364"/>
      <c r="G92" s="365"/>
      <c r="H92" s="366"/>
      <c r="I92" s="366"/>
      <c r="J92" s="364">
        <v>109438</v>
      </c>
      <c r="K92" s="364">
        <v>109438</v>
      </c>
      <c r="L92" s="364">
        <v>109438</v>
      </c>
      <c r="M92" s="116">
        <f aca="true" t="shared" si="23" ref="M92:M102">J92-L92</f>
        <v>0</v>
      </c>
      <c r="N92" s="345">
        <f aca="true" t="shared" si="24" ref="N92:N99">L92/C92</f>
        <v>0.4758173913043478</v>
      </c>
    </row>
    <row r="93" spans="1:14" ht="15">
      <c r="A93" s="361" t="s">
        <v>258</v>
      </c>
      <c r="B93" s="264" t="s">
        <v>254</v>
      </c>
      <c r="C93" s="116">
        <v>395000</v>
      </c>
      <c r="D93" s="116">
        <v>355000</v>
      </c>
      <c r="E93" s="116"/>
      <c r="F93" s="116"/>
      <c r="G93" s="117"/>
      <c r="H93" s="334"/>
      <c r="I93" s="334"/>
      <c r="J93" s="116">
        <v>208021</v>
      </c>
      <c r="K93" s="116">
        <v>208021</v>
      </c>
      <c r="L93" s="116">
        <v>131899</v>
      </c>
      <c r="M93" s="116">
        <f t="shared" si="23"/>
        <v>76122</v>
      </c>
      <c r="N93" s="345">
        <f t="shared" si="24"/>
        <v>0.3339215189873418</v>
      </c>
    </row>
    <row r="94" spans="1:14" ht="15" hidden="1">
      <c r="A94" s="140"/>
      <c r="B94" s="119"/>
      <c r="C94" s="116"/>
      <c r="D94" s="116"/>
      <c r="E94" s="116">
        <v>2000</v>
      </c>
      <c r="F94" s="116">
        <v>2000</v>
      </c>
      <c r="G94" s="117"/>
      <c r="H94" s="437" t="s">
        <v>113</v>
      </c>
      <c r="I94" s="438"/>
      <c r="J94" s="116"/>
      <c r="K94" s="116"/>
      <c r="L94" s="116"/>
      <c r="M94" s="116">
        <f t="shared" si="23"/>
        <v>0</v>
      </c>
      <c r="N94" s="344" t="e">
        <f t="shared" si="24"/>
        <v>#DIV/0!</v>
      </c>
    </row>
    <row r="95" spans="1:14" ht="15" hidden="1">
      <c r="A95" s="115" t="s">
        <v>0</v>
      </c>
      <c r="B95" s="119"/>
      <c r="C95" s="116">
        <f aca="true" t="shared" si="25" ref="C95:C102">D95+E95+F95+G95</f>
        <v>0</v>
      </c>
      <c r="D95" s="116"/>
      <c r="E95" s="116"/>
      <c r="F95" s="116"/>
      <c r="G95" s="117"/>
      <c r="H95" s="120"/>
      <c r="I95" s="121"/>
      <c r="J95" s="116"/>
      <c r="K95" s="116"/>
      <c r="L95" s="116"/>
      <c r="M95" s="116">
        <f t="shared" si="23"/>
        <v>0</v>
      </c>
      <c r="N95" s="344" t="e">
        <f t="shared" si="24"/>
        <v>#DIV/0!</v>
      </c>
    </row>
    <row r="96" spans="1:14" ht="15" hidden="1">
      <c r="A96" s="115" t="s">
        <v>1</v>
      </c>
      <c r="B96" s="119"/>
      <c r="C96" s="116">
        <f t="shared" si="25"/>
        <v>0</v>
      </c>
      <c r="D96" s="116"/>
      <c r="E96" s="116"/>
      <c r="F96" s="116"/>
      <c r="G96" s="117"/>
      <c r="H96" s="120"/>
      <c r="I96" s="121"/>
      <c r="J96" s="116"/>
      <c r="K96" s="116"/>
      <c r="L96" s="116"/>
      <c r="M96" s="116">
        <f t="shared" si="23"/>
        <v>0</v>
      </c>
      <c r="N96" s="344" t="e">
        <f t="shared" si="24"/>
        <v>#DIV/0!</v>
      </c>
    </row>
    <row r="97" spans="1:14" ht="15" hidden="1">
      <c r="A97" s="115" t="s">
        <v>148</v>
      </c>
      <c r="B97" s="119"/>
      <c r="C97" s="116">
        <f t="shared" si="25"/>
        <v>0</v>
      </c>
      <c r="D97" s="116"/>
      <c r="E97" s="116"/>
      <c r="F97" s="116"/>
      <c r="G97" s="117"/>
      <c r="H97" s="120"/>
      <c r="I97" s="121"/>
      <c r="J97" s="116"/>
      <c r="K97" s="116"/>
      <c r="L97" s="116"/>
      <c r="M97" s="116">
        <f t="shared" si="23"/>
        <v>0</v>
      </c>
      <c r="N97" s="344" t="e">
        <f t="shared" si="24"/>
        <v>#DIV/0!</v>
      </c>
    </row>
    <row r="98" spans="1:14" ht="15" hidden="1">
      <c r="A98" s="115" t="s">
        <v>2</v>
      </c>
      <c r="B98" s="119"/>
      <c r="C98" s="116">
        <f t="shared" si="25"/>
        <v>0</v>
      </c>
      <c r="D98" s="116"/>
      <c r="E98" s="116"/>
      <c r="F98" s="116"/>
      <c r="G98" s="117"/>
      <c r="H98" s="120"/>
      <c r="I98" s="121"/>
      <c r="J98" s="116"/>
      <c r="K98" s="116"/>
      <c r="L98" s="116"/>
      <c r="M98" s="116">
        <f t="shared" si="23"/>
        <v>0</v>
      </c>
      <c r="N98" s="344" t="e">
        <f t="shared" si="24"/>
        <v>#DIV/0!</v>
      </c>
    </row>
    <row r="99" spans="1:14" ht="15" hidden="1">
      <c r="A99" s="115" t="s">
        <v>3</v>
      </c>
      <c r="B99" s="119"/>
      <c r="C99" s="116">
        <f t="shared" si="25"/>
        <v>0</v>
      </c>
      <c r="D99" s="116"/>
      <c r="E99" s="116"/>
      <c r="F99" s="116"/>
      <c r="G99" s="117"/>
      <c r="H99" s="120"/>
      <c r="I99" s="121"/>
      <c r="J99" s="116"/>
      <c r="K99" s="116"/>
      <c r="L99" s="116"/>
      <c r="M99" s="116">
        <f t="shared" si="23"/>
        <v>0</v>
      </c>
      <c r="N99" s="344" t="e">
        <f t="shared" si="24"/>
        <v>#DIV/0!</v>
      </c>
    </row>
    <row r="100" spans="1:14" ht="14.25">
      <c r="A100" s="357" t="s">
        <v>260</v>
      </c>
      <c r="B100" s="362" t="s">
        <v>28</v>
      </c>
      <c r="C100" s="147">
        <v>30000</v>
      </c>
      <c r="D100" s="147">
        <v>25000</v>
      </c>
      <c r="E100" s="147"/>
      <c r="F100" s="147"/>
      <c r="G100" s="147"/>
      <c r="H100" s="147"/>
      <c r="I100" s="147"/>
      <c r="J100" s="147">
        <v>17360</v>
      </c>
      <c r="K100" s="147">
        <v>17360</v>
      </c>
      <c r="L100" s="147">
        <v>17360</v>
      </c>
      <c r="M100" s="147">
        <f t="shared" si="23"/>
        <v>0</v>
      </c>
      <c r="N100" s="374">
        <f>L100/C100</f>
        <v>0.5786666666666667</v>
      </c>
    </row>
    <row r="101" spans="1:14" ht="15" hidden="1">
      <c r="A101" s="115" t="s">
        <v>5</v>
      </c>
      <c r="B101" s="119"/>
      <c r="C101" s="116">
        <f t="shared" si="25"/>
        <v>0</v>
      </c>
      <c r="D101" s="116"/>
      <c r="E101" s="116"/>
      <c r="F101" s="116"/>
      <c r="G101" s="117"/>
      <c r="H101" s="120"/>
      <c r="I101" s="121"/>
      <c r="J101" s="116"/>
      <c r="K101" s="116"/>
      <c r="L101" s="116"/>
      <c r="M101" s="116">
        <f t="shared" si="23"/>
        <v>0</v>
      </c>
      <c r="N101" s="336"/>
    </row>
    <row r="102" spans="1:14" ht="15" hidden="1">
      <c r="A102" s="115" t="s">
        <v>6</v>
      </c>
      <c r="B102" s="119"/>
      <c r="C102" s="116">
        <f t="shared" si="25"/>
        <v>0</v>
      </c>
      <c r="D102" s="116"/>
      <c r="E102" s="116"/>
      <c r="F102" s="116"/>
      <c r="G102" s="117"/>
      <c r="H102" s="120"/>
      <c r="I102" s="121"/>
      <c r="J102" s="116"/>
      <c r="K102" s="116"/>
      <c r="L102" s="116"/>
      <c r="M102" s="116">
        <f t="shared" si="23"/>
        <v>0</v>
      </c>
      <c r="N102" s="336"/>
    </row>
    <row r="103" spans="1:14" ht="15">
      <c r="A103" s="122" t="s">
        <v>7</v>
      </c>
      <c r="B103" s="119"/>
      <c r="C103" s="116"/>
      <c r="D103" s="116"/>
      <c r="E103" s="116"/>
      <c r="F103" s="116"/>
      <c r="G103" s="117"/>
      <c r="H103" s="120"/>
      <c r="I103" s="121"/>
      <c r="J103" s="116"/>
      <c r="K103" s="116"/>
      <c r="L103" s="116"/>
      <c r="M103" s="116"/>
      <c r="N103" s="336"/>
    </row>
    <row r="104" spans="1:14" ht="15">
      <c r="A104" s="124" t="s">
        <v>8</v>
      </c>
      <c r="B104" s="119"/>
      <c r="C104" s="116"/>
      <c r="D104" s="116"/>
      <c r="E104" s="116"/>
      <c r="F104" s="116"/>
      <c r="G104" s="117"/>
      <c r="H104" s="120" t="s">
        <v>106</v>
      </c>
      <c r="I104" s="125">
        <f>C88+C91</f>
        <v>7965000</v>
      </c>
      <c r="J104" s="116"/>
      <c r="K104" s="116"/>
      <c r="L104" s="116"/>
      <c r="M104" s="116"/>
      <c r="N104" s="336"/>
    </row>
    <row r="105" spans="1:14" ht="14.25">
      <c r="A105" s="5" t="s">
        <v>261</v>
      </c>
      <c r="B105" s="363" t="s">
        <v>254</v>
      </c>
      <c r="C105" s="128">
        <f>C93+C90</f>
        <v>2795000</v>
      </c>
      <c r="D105" s="128">
        <f aca="true" t="shared" si="26" ref="D105:N105">D93+D90</f>
        <v>2305000</v>
      </c>
      <c r="E105" s="128">
        <f t="shared" si="26"/>
        <v>0</v>
      </c>
      <c r="F105" s="128">
        <f t="shared" si="26"/>
        <v>0</v>
      </c>
      <c r="G105" s="128">
        <f t="shared" si="26"/>
        <v>0</v>
      </c>
      <c r="H105" s="128">
        <f t="shared" si="26"/>
        <v>0</v>
      </c>
      <c r="I105" s="128">
        <f t="shared" si="26"/>
        <v>0</v>
      </c>
      <c r="J105" s="128">
        <f t="shared" si="26"/>
        <v>2608021</v>
      </c>
      <c r="K105" s="128">
        <f t="shared" si="26"/>
        <v>2608021</v>
      </c>
      <c r="L105" s="128">
        <f t="shared" si="26"/>
        <v>525708</v>
      </c>
      <c r="M105" s="128">
        <f t="shared" si="26"/>
        <v>2082313</v>
      </c>
      <c r="N105" s="375">
        <f t="shared" si="26"/>
        <v>0.4980086023206751</v>
      </c>
    </row>
    <row r="106" spans="1:14" ht="14.25">
      <c r="A106" s="126" t="s">
        <v>27</v>
      </c>
      <c r="B106" s="127" t="s">
        <v>28</v>
      </c>
      <c r="C106" s="128">
        <f>C100+C92+C89</f>
        <v>5200000</v>
      </c>
      <c r="D106" s="128">
        <f aca="true" t="shared" si="27" ref="D106:N106">D100+D92+D89</f>
        <v>3890000</v>
      </c>
      <c r="E106" s="128">
        <f t="shared" si="27"/>
        <v>0</v>
      </c>
      <c r="F106" s="128">
        <f t="shared" si="27"/>
        <v>0</v>
      </c>
      <c r="G106" s="128">
        <f t="shared" si="27"/>
        <v>0</v>
      </c>
      <c r="H106" s="128">
        <f t="shared" si="27"/>
        <v>0</v>
      </c>
      <c r="I106" s="128">
        <f t="shared" si="27"/>
        <v>0</v>
      </c>
      <c r="J106" s="128">
        <f t="shared" si="27"/>
        <v>3764798</v>
      </c>
      <c r="K106" s="128">
        <f t="shared" si="27"/>
        <v>3761798</v>
      </c>
      <c r="L106" s="128">
        <f t="shared" si="27"/>
        <v>3326561</v>
      </c>
      <c r="M106" s="128">
        <f t="shared" si="27"/>
        <v>438237</v>
      </c>
      <c r="N106" s="375">
        <f t="shared" si="27"/>
        <v>1.7022093616147391</v>
      </c>
    </row>
    <row r="107" spans="1:14" ht="15.75" thickBot="1">
      <c r="A107" s="292" t="s">
        <v>7</v>
      </c>
      <c r="B107" s="177"/>
      <c r="C107" s="165"/>
      <c r="D107" s="165"/>
      <c r="E107" s="165"/>
      <c r="F107" s="165"/>
      <c r="G107" s="165"/>
      <c r="H107" s="293"/>
      <c r="I107" s="180"/>
      <c r="J107" s="165">
        <f>J103</f>
        <v>0</v>
      </c>
      <c r="K107" s="165">
        <f>K103</f>
        <v>0</v>
      </c>
      <c r="L107" s="165">
        <f>L103</f>
        <v>0</v>
      </c>
      <c r="M107" s="165"/>
      <c r="N107" s="338"/>
    </row>
    <row r="108" spans="1:14" ht="24.75" customHeight="1" thickBot="1">
      <c r="A108" s="288" t="s">
        <v>32</v>
      </c>
      <c r="B108" s="289" t="s">
        <v>161</v>
      </c>
      <c r="C108" s="290">
        <f>C109+C114+C125+C134</f>
        <v>37562650</v>
      </c>
      <c r="D108" s="290">
        <f aca="true" t="shared" si="28" ref="D108:M108">D109+D114+D125+D134</f>
        <v>34122000</v>
      </c>
      <c r="E108" s="290">
        <f t="shared" si="28"/>
        <v>300000</v>
      </c>
      <c r="F108" s="290">
        <f t="shared" si="28"/>
        <v>300000</v>
      </c>
      <c r="G108" s="290">
        <f t="shared" si="28"/>
        <v>300000</v>
      </c>
      <c r="H108" s="290">
        <f t="shared" si="28"/>
        <v>300000</v>
      </c>
      <c r="I108" s="290">
        <f t="shared" si="28"/>
        <v>300000</v>
      </c>
      <c r="J108" s="290">
        <f>J109+J114+J125+J134+J139</f>
        <v>36705460</v>
      </c>
      <c r="K108" s="290">
        <f>K109+K114+K125+K134+K139</f>
        <v>36705460</v>
      </c>
      <c r="L108" s="290">
        <f>L109+L114+L125+L134+L139</f>
        <v>29046069</v>
      </c>
      <c r="M108" s="290">
        <f t="shared" si="28"/>
        <v>7659391</v>
      </c>
      <c r="N108" s="291">
        <f>L108/C108</f>
        <v>0.7732699636473997</v>
      </c>
    </row>
    <row r="109" spans="1:14" ht="15" hidden="1">
      <c r="A109" s="300" t="s">
        <v>149</v>
      </c>
      <c r="B109" s="303"/>
      <c r="C109" s="302">
        <f>C110+C111+C112+C113</f>
        <v>0</v>
      </c>
      <c r="D109" s="302">
        <f aca="true" t="shared" si="29" ref="D109:M109">D110+D111+D112+D113</f>
        <v>0</v>
      </c>
      <c r="E109" s="302">
        <f t="shared" si="29"/>
        <v>0</v>
      </c>
      <c r="F109" s="302">
        <f t="shared" si="29"/>
        <v>0</v>
      </c>
      <c r="G109" s="302">
        <f t="shared" si="29"/>
        <v>0</v>
      </c>
      <c r="H109" s="302">
        <f t="shared" si="29"/>
        <v>0</v>
      </c>
      <c r="I109" s="302">
        <f t="shared" si="29"/>
        <v>0</v>
      </c>
      <c r="J109" s="302">
        <f t="shared" si="29"/>
        <v>0</v>
      </c>
      <c r="K109" s="302">
        <f t="shared" si="29"/>
        <v>0</v>
      </c>
      <c r="L109" s="302">
        <f t="shared" si="29"/>
        <v>0</v>
      </c>
      <c r="M109" s="302">
        <f t="shared" si="29"/>
        <v>0</v>
      </c>
      <c r="N109" s="343" t="e">
        <f>L109/C109</f>
        <v>#DIV/0!</v>
      </c>
    </row>
    <row r="110" spans="1:14" ht="15" hidden="1">
      <c r="A110" s="148" t="s">
        <v>201</v>
      </c>
      <c r="B110" s="138" t="s">
        <v>34</v>
      </c>
      <c r="C110" s="116"/>
      <c r="D110" s="116"/>
      <c r="E110" s="116"/>
      <c r="F110" s="116"/>
      <c r="G110" s="149"/>
      <c r="H110" s="334"/>
      <c r="I110" s="334"/>
      <c r="J110" s="118"/>
      <c r="K110" s="118"/>
      <c r="L110" s="118"/>
      <c r="M110" s="116">
        <f>J110-L110</f>
        <v>0</v>
      </c>
      <c r="N110" s="336"/>
    </row>
    <row r="111" spans="1:14" ht="15" hidden="1">
      <c r="A111" s="148" t="s">
        <v>202</v>
      </c>
      <c r="B111" s="138" t="s">
        <v>35</v>
      </c>
      <c r="C111" s="116"/>
      <c r="D111" s="116"/>
      <c r="E111" s="116"/>
      <c r="F111" s="116"/>
      <c r="G111" s="149"/>
      <c r="H111" s="334"/>
      <c r="I111" s="334"/>
      <c r="J111" s="116"/>
      <c r="K111" s="116"/>
      <c r="L111" s="116"/>
      <c r="M111" s="116">
        <f>J111-L111</f>
        <v>0</v>
      </c>
      <c r="N111" s="336" t="e">
        <f>L111/C111</f>
        <v>#DIV/0!</v>
      </c>
    </row>
    <row r="112" spans="1:14" ht="15" hidden="1">
      <c r="A112" s="148" t="s">
        <v>203</v>
      </c>
      <c r="B112" s="138" t="s">
        <v>36</v>
      </c>
      <c r="C112" s="116"/>
      <c r="D112" s="116"/>
      <c r="E112" s="116"/>
      <c r="F112" s="116"/>
      <c r="G112" s="149"/>
      <c r="H112" s="334"/>
      <c r="I112" s="334"/>
      <c r="J112" s="116"/>
      <c r="K112" s="116"/>
      <c r="L112" s="116"/>
      <c r="M112" s="116">
        <f>J112-L112</f>
        <v>0</v>
      </c>
      <c r="N112" s="336"/>
    </row>
    <row r="113" spans="1:14" ht="15" hidden="1">
      <c r="A113" s="234" t="s">
        <v>239</v>
      </c>
      <c r="B113" s="138" t="s">
        <v>36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>
        <f>J113-L113</f>
        <v>0</v>
      </c>
      <c r="N113" s="336"/>
    </row>
    <row r="114" spans="1:14" ht="15">
      <c r="A114" s="357" t="s">
        <v>164</v>
      </c>
      <c r="B114" s="150"/>
      <c r="C114" s="146">
        <f>C115+C116+C117+C118+C119+C120+C121</f>
        <v>8520000</v>
      </c>
      <c r="D114" s="146">
        <f aca="true" t="shared" si="30" ref="D114:M114">D115+D116+D117+D118+D119+D120+D121</f>
        <v>6170000</v>
      </c>
      <c r="E114" s="146">
        <f t="shared" si="30"/>
        <v>0</v>
      </c>
      <c r="F114" s="146">
        <f t="shared" si="30"/>
        <v>0</v>
      </c>
      <c r="G114" s="146">
        <f t="shared" si="30"/>
        <v>0</v>
      </c>
      <c r="H114" s="146">
        <f t="shared" si="30"/>
        <v>0</v>
      </c>
      <c r="I114" s="146">
        <f t="shared" si="30"/>
        <v>0</v>
      </c>
      <c r="J114" s="146">
        <f t="shared" si="30"/>
        <v>8062278</v>
      </c>
      <c r="K114" s="146">
        <f t="shared" si="30"/>
        <v>8062278</v>
      </c>
      <c r="L114" s="146">
        <f t="shared" si="30"/>
        <v>4795037</v>
      </c>
      <c r="M114" s="146">
        <f t="shared" si="30"/>
        <v>3267241</v>
      </c>
      <c r="N114" s="346">
        <f>L114/C114</f>
        <v>0.5627977699530516</v>
      </c>
    </row>
    <row r="115" spans="1:14" ht="15" hidden="1">
      <c r="A115" s="148" t="s">
        <v>201</v>
      </c>
      <c r="B115" s="151" t="s">
        <v>34</v>
      </c>
      <c r="C115" s="118"/>
      <c r="D115" s="118"/>
      <c r="E115" s="118"/>
      <c r="F115" s="118"/>
      <c r="G115" s="152"/>
      <c r="H115" s="153"/>
      <c r="I115" s="153"/>
      <c r="J115" s="118"/>
      <c r="K115" s="118"/>
      <c r="L115" s="118"/>
      <c r="M115" s="118">
        <f>J115-L115</f>
        <v>0</v>
      </c>
      <c r="N115" s="345"/>
    </row>
    <row r="116" spans="1:14" ht="15" hidden="1">
      <c r="A116" s="148" t="s">
        <v>202</v>
      </c>
      <c r="B116" s="151" t="s">
        <v>35</v>
      </c>
      <c r="C116" s="118"/>
      <c r="D116" s="118"/>
      <c r="E116" s="118"/>
      <c r="F116" s="118"/>
      <c r="G116" s="152"/>
      <c r="H116" s="153"/>
      <c r="I116" s="153"/>
      <c r="J116" s="118"/>
      <c r="K116" s="118"/>
      <c r="L116" s="118"/>
      <c r="M116" s="118">
        <f>J116-L116</f>
        <v>0</v>
      </c>
      <c r="N116" s="345" t="e">
        <f>L116/C116</f>
        <v>#DIV/0!</v>
      </c>
    </row>
    <row r="117" spans="1:14" ht="15" hidden="1">
      <c r="A117" s="148" t="s">
        <v>203</v>
      </c>
      <c r="B117" s="151" t="s">
        <v>36</v>
      </c>
      <c r="C117" s="118"/>
      <c r="D117" s="118"/>
      <c r="E117" s="118"/>
      <c r="F117" s="118"/>
      <c r="G117" s="152"/>
      <c r="H117" s="153"/>
      <c r="I117" s="153"/>
      <c r="J117" s="118"/>
      <c r="K117" s="118"/>
      <c r="L117" s="118"/>
      <c r="M117" s="118">
        <f>J117-L117</f>
        <v>0</v>
      </c>
      <c r="N117" s="345"/>
    </row>
    <row r="118" spans="1:14" ht="15" hidden="1">
      <c r="A118" s="234" t="s">
        <v>238</v>
      </c>
      <c r="B118" s="151" t="s">
        <v>36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>
        <f>J118-L118</f>
        <v>0</v>
      </c>
      <c r="N118" s="345"/>
    </row>
    <row r="119" spans="1:14" ht="15">
      <c r="A119" s="148" t="s">
        <v>33</v>
      </c>
      <c r="B119" s="151" t="s">
        <v>59</v>
      </c>
      <c r="C119" s="118">
        <v>8350000</v>
      </c>
      <c r="D119" s="118">
        <v>6000000</v>
      </c>
      <c r="E119" s="118"/>
      <c r="F119" s="118"/>
      <c r="G119" s="154"/>
      <c r="H119" s="334"/>
      <c r="I119" s="334"/>
      <c r="J119" s="118">
        <v>7976714</v>
      </c>
      <c r="K119" s="118">
        <v>7976714</v>
      </c>
      <c r="L119" s="118">
        <v>4778421</v>
      </c>
      <c r="M119" s="118">
        <f aca="true" t="shared" si="31" ref="M119:M139">J119-L119</f>
        <v>3198293</v>
      </c>
      <c r="N119" s="345">
        <f>L119/C119</f>
        <v>0.5722659880239521</v>
      </c>
    </row>
    <row r="120" spans="1:14" ht="15">
      <c r="A120" s="148" t="s">
        <v>226</v>
      </c>
      <c r="B120" s="151" t="s">
        <v>52</v>
      </c>
      <c r="C120" s="118">
        <v>170000</v>
      </c>
      <c r="D120" s="118">
        <v>170000</v>
      </c>
      <c r="E120" s="118"/>
      <c r="F120" s="118"/>
      <c r="G120" s="154"/>
      <c r="H120" s="334"/>
      <c r="I120" s="334"/>
      <c r="J120" s="118">
        <v>85564</v>
      </c>
      <c r="K120" s="118">
        <v>85564</v>
      </c>
      <c r="L120" s="118">
        <f>10170+6446</f>
        <v>16616</v>
      </c>
      <c r="M120" s="118">
        <f t="shared" si="31"/>
        <v>68948</v>
      </c>
      <c r="N120" s="345">
        <f>L120/C120</f>
        <v>0.09774117647058823</v>
      </c>
    </row>
    <row r="121" spans="1:14" ht="15" hidden="1">
      <c r="A121" s="148" t="s">
        <v>227</v>
      </c>
      <c r="B121" s="151" t="s">
        <v>35</v>
      </c>
      <c r="C121" s="118">
        <v>0</v>
      </c>
      <c r="D121" s="118">
        <v>0</v>
      </c>
      <c r="E121" s="118"/>
      <c r="F121" s="118"/>
      <c r="G121" s="154"/>
      <c r="H121" s="334"/>
      <c r="I121" s="334"/>
      <c r="J121" s="118">
        <v>0</v>
      </c>
      <c r="K121" s="118">
        <v>0</v>
      </c>
      <c r="L121" s="118">
        <v>0</v>
      </c>
      <c r="M121" s="118">
        <f t="shared" si="31"/>
        <v>0</v>
      </c>
      <c r="N121" s="345"/>
    </row>
    <row r="122" spans="1:14" ht="15" hidden="1">
      <c r="A122" s="155" t="s">
        <v>0</v>
      </c>
      <c r="B122" s="156"/>
      <c r="C122" s="118">
        <f>D122+E122+F122+G122</f>
        <v>0</v>
      </c>
      <c r="D122" s="118"/>
      <c r="E122" s="118"/>
      <c r="F122" s="118"/>
      <c r="G122" s="154"/>
      <c r="H122" s="334"/>
      <c r="I122" s="334"/>
      <c r="J122" s="118"/>
      <c r="K122" s="118"/>
      <c r="L122" s="118"/>
      <c r="M122" s="118">
        <f t="shared" si="31"/>
        <v>0</v>
      </c>
      <c r="N122" s="345"/>
    </row>
    <row r="123" spans="1:14" ht="15" hidden="1">
      <c r="A123" s="155" t="s">
        <v>1</v>
      </c>
      <c r="B123" s="156"/>
      <c r="C123" s="118">
        <f>D123+E123+F123+G123</f>
        <v>0</v>
      </c>
      <c r="D123" s="118"/>
      <c r="E123" s="118"/>
      <c r="F123" s="118"/>
      <c r="G123" s="154"/>
      <c r="H123" s="334"/>
      <c r="I123" s="334"/>
      <c r="J123" s="118"/>
      <c r="K123" s="118"/>
      <c r="L123" s="118"/>
      <c r="M123" s="118">
        <f t="shared" si="31"/>
        <v>0</v>
      </c>
      <c r="N123" s="345"/>
    </row>
    <row r="124" spans="1:14" ht="15" hidden="1">
      <c r="A124" s="148" t="s">
        <v>175</v>
      </c>
      <c r="B124" s="156" t="s">
        <v>61</v>
      </c>
      <c r="C124" s="118"/>
      <c r="D124" s="118"/>
      <c r="E124" s="118"/>
      <c r="F124" s="118"/>
      <c r="G124" s="152"/>
      <c r="H124" s="334"/>
      <c r="I124" s="334"/>
      <c r="J124" s="118"/>
      <c r="K124" s="118"/>
      <c r="L124" s="118"/>
      <c r="M124" s="118">
        <f t="shared" si="31"/>
        <v>0</v>
      </c>
      <c r="N124" s="345"/>
    </row>
    <row r="125" spans="1:14" ht="15">
      <c r="A125" s="157" t="s">
        <v>151</v>
      </c>
      <c r="B125" s="145"/>
      <c r="C125" s="146">
        <f>C127+C128+C126</f>
        <v>28862650</v>
      </c>
      <c r="D125" s="146">
        <f aca="true" t="shared" si="32" ref="D125:M125">D127+D128+D126</f>
        <v>27772000</v>
      </c>
      <c r="E125" s="146">
        <f t="shared" si="32"/>
        <v>0</v>
      </c>
      <c r="F125" s="146">
        <f t="shared" si="32"/>
        <v>0</v>
      </c>
      <c r="G125" s="146">
        <f t="shared" si="32"/>
        <v>0</v>
      </c>
      <c r="H125" s="146">
        <f t="shared" si="32"/>
        <v>0</v>
      </c>
      <c r="I125" s="146">
        <f t="shared" si="32"/>
        <v>0</v>
      </c>
      <c r="J125" s="146">
        <f t="shared" si="32"/>
        <v>28555000</v>
      </c>
      <c r="K125" s="146">
        <f t="shared" si="32"/>
        <v>28555000</v>
      </c>
      <c r="L125" s="146">
        <f t="shared" si="32"/>
        <v>24209850</v>
      </c>
      <c r="M125" s="146">
        <f t="shared" si="32"/>
        <v>4345150</v>
      </c>
      <c r="N125" s="373">
        <f>L125/C125</f>
        <v>0.8387951210301202</v>
      </c>
    </row>
    <row r="126" spans="1:14" ht="15">
      <c r="A126" s="234" t="s">
        <v>202</v>
      </c>
      <c r="B126" s="232" t="s">
        <v>35</v>
      </c>
      <c r="C126" s="118">
        <v>6447000</v>
      </c>
      <c r="D126" s="118">
        <v>6026000</v>
      </c>
      <c r="E126" s="118"/>
      <c r="F126" s="118"/>
      <c r="G126" s="152"/>
      <c r="H126" s="153"/>
      <c r="I126" s="153"/>
      <c r="J126" s="118">
        <v>6447000</v>
      </c>
      <c r="K126" s="118">
        <v>6447000</v>
      </c>
      <c r="L126" s="118">
        <v>6026000</v>
      </c>
      <c r="M126" s="118">
        <f t="shared" si="31"/>
        <v>421000</v>
      </c>
      <c r="N126" s="345">
        <f>L126:L127/C126</f>
        <v>0.9346983092911432</v>
      </c>
    </row>
    <row r="127" spans="1:14" ht="15">
      <c r="A127" s="148" t="s">
        <v>203</v>
      </c>
      <c r="B127" s="151" t="s">
        <v>36</v>
      </c>
      <c r="C127" s="118">
        <v>17415650</v>
      </c>
      <c r="D127" s="118">
        <v>16795000</v>
      </c>
      <c r="E127" s="118"/>
      <c r="F127" s="118"/>
      <c r="G127" s="152"/>
      <c r="H127" s="153"/>
      <c r="I127" s="153"/>
      <c r="J127" s="118">
        <v>17108000</v>
      </c>
      <c r="K127" s="118">
        <v>17108000</v>
      </c>
      <c r="L127" s="118">
        <v>13252850</v>
      </c>
      <c r="M127" s="118">
        <f t="shared" si="31"/>
        <v>3855150</v>
      </c>
      <c r="N127" s="345">
        <f>L127/C127</f>
        <v>0.7609736070718004</v>
      </c>
    </row>
    <row r="128" spans="1:14" ht="15">
      <c r="A128" s="148" t="s">
        <v>201</v>
      </c>
      <c r="B128" s="151" t="s">
        <v>34</v>
      </c>
      <c r="C128" s="118">
        <v>5000000</v>
      </c>
      <c r="D128" s="118">
        <v>4951000</v>
      </c>
      <c r="E128" s="118"/>
      <c r="F128" s="118"/>
      <c r="G128" s="154"/>
      <c r="H128" s="334"/>
      <c r="I128" s="334"/>
      <c r="J128" s="118">
        <v>5000000</v>
      </c>
      <c r="K128" s="118">
        <v>5000000</v>
      </c>
      <c r="L128" s="118">
        <v>4931000</v>
      </c>
      <c r="M128" s="118">
        <f t="shared" si="31"/>
        <v>69000</v>
      </c>
      <c r="N128" s="345">
        <f>L128/C128</f>
        <v>0.9862</v>
      </c>
    </row>
    <row r="129" spans="1:14" ht="15" hidden="1">
      <c r="A129" s="148"/>
      <c r="B129" s="156"/>
      <c r="C129" s="118"/>
      <c r="D129" s="118"/>
      <c r="E129" s="118"/>
      <c r="F129" s="118"/>
      <c r="G129" s="154"/>
      <c r="H129" s="334"/>
      <c r="I129" s="334"/>
      <c r="J129" s="118"/>
      <c r="K129" s="118"/>
      <c r="L129" s="118"/>
      <c r="M129" s="118">
        <f t="shared" si="31"/>
        <v>0</v>
      </c>
      <c r="N129" s="345"/>
    </row>
    <row r="130" spans="1:14" ht="15" hidden="1">
      <c r="A130" s="148"/>
      <c r="B130" s="156"/>
      <c r="C130" s="118"/>
      <c r="D130" s="118"/>
      <c r="E130" s="118"/>
      <c r="F130" s="118"/>
      <c r="G130" s="154"/>
      <c r="H130" s="334"/>
      <c r="I130" s="334"/>
      <c r="J130" s="118"/>
      <c r="K130" s="118"/>
      <c r="L130" s="118"/>
      <c r="M130" s="118">
        <f t="shared" si="31"/>
        <v>0</v>
      </c>
      <c r="N130" s="345"/>
    </row>
    <row r="131" spans="1:14" ht="15" hidden="1">
      <c r="A131" s="148"/>
      <c r="B131" s="156"/>
      <c r="C131" s="118"/>
      <c r="D131" s="118"/>
      <c r="E131" s="118"/>
      <c r="F131" s="118"/>
      <c r="G131" s="154"/>
      <c r="H131" s="334"/>
      <c r="I131" s="334"/>
      <c r="J131" s="118"/>
      <c r="K131" s="118"/>
      <c r="L131" s="118"/>
      <c r="M131" s="118">
        <f t="shared" si="31"/>
        <v>0</v>
      </c>
      <c r="N131" s="345"/>
    </row>
    <row r="132" spans="1:14" ht="15" hidden="1">
      <c r="A132" s="148"/>
      <c r="B132" s="156"/>
      <c r="C132" s="118"/>
      <c r="D132" s="118"/>
      <c r="E132" s="118"/>
      <c r="F132" s="118"/>
      <c r="G132" s="154"/>
      <c r="H132" s="334"/>
      <c r="I132" s="334"/>
      <c r="J132" s="118"/>
      <c r="K132" s="118"/>
      <c r="L132" s="118"/>
      <c r="M132" s="118">
        <f t="shared" si="31"/>
        <v>0</v>
      </c>
      <c r="N132" s="345"/>
    </row>
    <row r="133" spans="1:14" ht="15" hidden="1">
      <c r="A133" s="155" t="s">
        <v>3</v>
      </c>
      <c r="B133" s="156"/>
      <c r="C133" s="118">
        <f>D133+E133+F133+G133</f>
        <v>0</v>
      </c>
      <c r="D133" s="118"/>
      <c r="E133" s="118"/>
      <c r="F133" s="118"/>
      <c r="G133" s="154"/>
      <c r="H133" s="334"/>
      <c r="I133" s="334"/>
      <c r="J133" s="118"/>
      <c r="K133" s="118">
        <f>J133</f>
        <v>0</v>
      </c>
      <c r="L133" s="118"/>
      <c r="M133" s="118">
        <f t="shared" si="31"/>
        <v>0</v>
      </c>
      <c r="N133" s="345"/>
    </row>
    <row r="134" spans="1:14" ht="15">
      <c r="A134" s="157" t="s">
        <v>4</v>
      </c>
      <c r="B134" s="145"/>
      <c r="C134" s="146">
        <f>C135+C136+C137+C138</f>
        <v>180000</v>
      </c>
      <c r="D134" s="146">
        <f aca="true" t="shared" si="33" ref="D134:M134">D135+D136+D137+D138</f>
        <v>180000</v>
      </c>
      <c r="E134" s="146">
        <f t="shared" si="33"/>
        <v>300000</v>
      </c>
      <c r="F134" s="146">
        <f t="shared" si="33"/>
        <v>300000</v>
      </c>
      <c r="G134" s="146">
        <f t="shared" si="33"/>
        <v>300000</v>
      </c>
      <c r="H134" s="146">
        <f t="shared" si="33"/>
        <v>300000</v>
      </c>
      <c r="I134" s="146">
        <f t="shared" si="33"/>
        <v>300000</v>
      </c>
      <c r="J134" s="146">
        <f t="shared" si="33"/>
        <v>180000</v>
      </c>
      <c r="K134" s="146">
        <f t="shared" si="33"/>
        <v>180000</v>
      </c>
      <c r="L134" s="146">
        <f t="shared" si="33"/>
        <v>133000</v>
      </c>
      <c r="M134" s="146">
        <f t="shared" si="33"/>
        <v>47000</v>
      </c>
      <c r="N134" s="346">
        <f>L134/C134</f>
        <v>0.7388888888888889</v>
      </c>
    </row>
    <row r="135" spans="1:14" ht="15">
      <c r="A135" s="158" t="s">
        <v>45</v>
      </c>
      <c r="B135" s="151" t="s">
        <v>52</v>
      </c>
      <c r="C135" s="118">
        <v>180000</v>
      </c>
      <c r="D135" s="118">
        <v>180000</v>
      </c>
      <c r="E135" s="118"/>
      <c r="F135" s="118"/>
      <c r="G135" s="154"/>
      <c r="H135" s="334"/>
      <c r="I135" s="334"/>
      <c r="J135" s="118">
        <v>180000</v>
      </c>
      <c r="K135" s="118">
        <v>180000</v>
      </c>
      <c r="L135" s="118">
        <v>133000</v>
      </c>
      <c r="M135" s="118">
        <f t="shared" si="31"/>
        <v>47000</v>
      </c>
      <c r="N135" s="345">
        <f>L135/C135</f>
        <v>0.7388888888888889</v>
      </c>
    </row>
    <row r="136" spans="1:14" ht="15" hidden="1">
      <c r="A136" s="155"/>
      <c r="B136" s="151" t="s">
        <v>35</v>
      </c>
      <c r="C136" s="118"/>
      <c r="D136" s="118"/>
      <c r="E136" s="118">
        <v>300000</v>
      </c>
      <c r="F136" s="118">
        <v>300000</v>
      </c>
      <c r="G136" s="118">
        <v>300000</v>
      </c>
      <c r="H136" s="118">
        <v>300000</v>
      </c>
      <c r="I136" s="118">
        <v>300000</v>
      </c>
      <c r="J136" s="118"/>
      <c r="K136" s="118"/>
      <c r="L136" s="118"/>
      <c r="M136" s="118">
        <f t="shared" si="31"/>
        <v>0</v>
      </c>
      <c r="N136" s="345"/>
    </row>
    <row r="137" spans="1:14" ht="15" hidden="1">
      <c r="A137" s="115"/>
      <c r="B137" s="138" t="s">
        <v>36</v>
      </c>
      <c r="C137" s="116"/>
      <c r="D137" s="116"/>
      <c r="E137" s="116"/>
      <c r="F137" s="116"/>
      <c r="G137" s="117"/>
      <c r="H137" s="334"/>
      <c r="I137" s="334"/>
      <c r="J137" s="116"/>
      <c r="K137" s="116"/>
      <c r="L137" s="116"/>
      <c r="M137" s="118">
        <f t="shared" si="31"/>
        <v>0</v>
      </c>
      <c r="N137" s="345"/>
    </row>
    <row r="138" spans="1:14" ht="15" hidden="1">
      <c r="A138" s="115"/>
      <c r="B138" s="138" t="s">
        <v>34</v>
      </c>
      <c r="C138" s="116"/>
      <c r="D138" s="116"/>
      <c r="E138" s="116"/>
      <c r="F138" s="116"/>
      <c r="G138" s="117"/>
      <c r="H138" s="334"/>
      <c r="I138" s="334"/>
      <c r="J138" s="116"/>
      <c r="K138" s="116"/>
      <c r="L138" s="116"/>
      <c r="M138" s="118">
        <f t="shared" si="31"/>
        <v>0</v>
      </c>
      <c r="N138" s="345"/>
    </row>
    <row r="139" spans="1:14" ht="15">
      <c r="A139" s="159" t="s">
        <v>7</v>
      </c>
      <c r="B139" s="119"/>
      <c r="C139" s="116"/>
      <c r="D139" s="116"/>
      <c r="E139" s="116"/>
      <c r="F139" s="116"/>
      <c r="G139" s="117"/>
      <c r="H139" s="334"/>
      <c r="I139" s="334"/>
      <c r="J139" s="123">
        <f>K139</f>
        <v>-91818</v>
      </c>
      <c r="K139" s="123">
        <f>L139</f>
        <v>-91818</v>
      </c>
      <c r="L139" s="123">
        <v>-91818</v>
      </c>
      <c r="M139" s="116">
        <f t="shared" si="31"/>
        <v>0</v>
      </c>
      <c r="N139" s="336"/>
    </row>
    <row r="140" spans="1:14" ht="15">
      <c r="A140" s="124" t="s">
        <v>8</v>
      </c>
      <c r="B140" s="119"/>
      <c r="C140" s="116"/>
      <c r="D140" s="116"/>
      <c r="E140" s="116"/>
      <c r="F140" s="116"/>
      <c r="G140" s="117"/>
      <c r="H140" s="334"/>
      <c r="I140" s="334"/>
      <c r="J140" s="116"/>
      <c r="K140" s="116"/>
      <c r="L140" s="116"/>
      <c r="M140" s="116"/>
      <c r="N140" s="336"/>
    </row>
    <row r="141" spans="1:14" ht="15">
      <c r="A141" s="160" t="s">
        <v>37</v>
      </c>
      <c r="B141" s="161" t="s">
        <v>46</v>
      </c>
      <c r="C141" s="128">
        <f>D141+E141+F141+G141</f>
        <v>0</v>
      </c>
      <c r="D141" s="128"/>
      <c r="E141" s="128"/>
      <c r="F141" s="128"/>
      <c r="G141" s="141"/>
      <c r="H141" s="334"/>
      <c r="I141" s="334"/>
      <c r="J141" s="128"/>
      <c r="K141" s="128"/>
      <c r="L141" s="128"/>
      <c r="M141" s="128">
        <f>J141-L141</f>
        <v>0</v>
      </c>
      <c r="N141" s="337"/>
    </row>
    <row r="142" spans="1:14" ht="15">
      <c r="A142" s="162" t="s">
        <v>38</v>
      </c>
      <c r="B142" s="161" t="s">
        <v>47</v>
      </c>
      <c r="C142" s="128">
        <f aca="true" t="shared" si="34" ref="C142:C153">D142+E142+F142+G142</f>
        <v>0</v>
      </c>
      <c r="D142" s="128"/>
      <c r="E142" s="128"/>
      <c r="F142" s="128"/>
      <c r="G142" s="141"/>
      <c r="H142" s="334"/>
      <c r="I142" s="334"/>
      <c r="J142" s="128"/>
      <c r="K142" s="128"/>
      <c r="L142" s="128"/>
      <c r="M142" s="128">
        <f aca="true" t="shared" si="35" ref="M142:M154">J142-L142</f>
        <v>0</v>
      </c>
      <c r="N142" s="337"/>
    </row>
    <row r="143" spans="1:14" ht="14.25">
      <c r="A143" s="160" t="s">
        <v>39</v>
      </c>
      <c r="B143" s="161" t="s">
        <v>36</v>
      </c>
      <c r="C143" s="128">
        <f>C137+C118+C117+C113+C112+C127</f>
        <v>17415650</v>
      </c>
      <c r="D143" s="128">
        <f aca="true" t="shared" si="36" ref="D143:M143">D137+D118+D117+D113+D112+D127</f>
        <v>16795000</v>
      </c>
      <c r="E143" s="128">
        <f t="shared" si="36"/>
        <v>0</v>
      </c>
      <c r="F143" s="128">
        <f t="shared" si="36"/>
        <v>0</v>
      </c>
      <c r="G143" s="128">
        <f t="shared" si="36"/>
        <v>0</v>
      </c>
      <c r="H143" s="128">
        <f t="shared" si="36"/>
        <v>0</v>
      </c>
      <c r="I143" s="128">
        <f t="shared" si="36"/>
        <v>0</v>
      </c>
      <c r="J143" s="128">
        <f t="shared" si="36"/>
        <v>17108000</v>
      </c>
      <c r="K143" s="128">
        <f t="shared" si="36"/>
        <v>17108000</v>
      </c>
      <c r="L143" s="128">
        <f t="shared" si="36"/>
        <v>13252850</v>
      </c>
      <c r="M143" s="128">
        <f t="shared" si="36"/>
        <v>3855150</v>
      </c>
      <c r="N143" s="337">
        <f>L143/C143</f>
        <v>0.7609736070718004</v>
      </c>
    </row>
    <row r="144" spans="1:14" ht="15">
      <c r="A144" s="162" t="s">
        <v>40</v>
      </c>
      <c r="B144" s="161" t="s">
        <v>48</v>
      </c>
      <c r="C144" s="128">
        <f t="shared" si="34"/>
        <v>0</v>
      </c>
      <c r="D144" s="128"/>
      <c r="E144" s="128"/>
      <c r="F144" s="128"/>
      <c r="G144" s="141"/>
      <c r="H144" s="334"/>
      <c r="I144" s="334"/>
      <c r="J144" s="128"/>
      <c r="K144" s="128"/>
      <c r="L144" s="128"/>
      <c r="M144" s="128">
        <f t="shared" si="35"/>
        <v>0</v>
      </c>
      <c r="N144" s="337"/>
    </row>
    <row r="145" spans="1:14" ht="14.25">
      <c r="A145" s="162" t="s">
        <v>41</v>
      </c>
      <c r="B145" s="161" t="s">
        <v>34</v>
      </c>
      <c r="C145" s="128">
        <f>C138+C128+C115+C110</f>
        <v>5000000</v>
      </c>
      <c r="D145" s="128">
        <f aca="true" t="shared" si="37" ref="D145:M145">D138+D128+D115+D110</f>
        <v>4951000</v>
      </c>
      <c r="E145" s="128">
        <f t="shared" si="37"/>
        <v>0</v>
      </c>
      <c r="F145" s="128">
        <f t="shared" si="37"/>
        <v>0</v>
      </c>
      <c r="G145" s="128">
        <f t="shared" si="37"/>
        <v>0</v>
      </c>
      <c r="H145" s="128">
        <f t="shared" si="37"/>
        <v>0</v>
      </c>
      <c r="I145" s="128">
        <f t="shared" si="37"/>
        <v>0</v>
      </c>
      <c r="J145" s="128">
        <f t="shared" si="37"/>
        <v>5000000</v>
      </c>
      <c r="K145" s="128">
        <f t="shared" si="37"/>
        <v>5000000</v>
      </c>
      <c r="L145" s="128">
        <f t="shared" si="37"/>
        <v>4931000</v>
      </c>
      <c r="M145" s="128">
        <f t="shared" si="37"/>
        <v>69000</v>
      </c>
      <c r="N145" s="337">
        <f aca="true" t="shared" si="38" ref="N145:N152">L145/C145</f>
        <v>0.9862</v>
      </c>
    </row>
    <row r="146" spans="1:14" ht="15">
      <c r="A146" s="162" t="s">
        <v>42</v>
      </c>
      <c r="B146" s="161" t="s">
        <v>49</v>
      </c>
      <c r="C146" s="128">
        <f t="shared" si="34"/>
        <v>0</v>
      </c>
      <c r="D146" s="128"/>
      <c r="E146" s="128"/>
      <c r="F146" s="128"/>
      <c r="G146" s="141"/>
      <c r="H146" s="334"/>
      <c r="I146" s="334"/>
      <c r="J146" s="128"/>
      <c r="K146" s="128"/>
      <c r="L146" s="128"/>
      <c r="M146" s="128">
        <f t="shared" si="35"/>
        <v>0</v>
      </c>
      <c r="N146" s="337"/>
    </row>
    <row r="147" spans="1:14" ht="15">
      <c r="A147" s="162" t="s">
        <v>43</v>
      </c>
      <c r="B147" s="161" t="s">
        <v>50</v>
      </c>
      <c r="C147" s="128">
        <f t="shared" si="34"/>
        <v>0</v>
      </c>
      <c r="D147" s="128"/>
      <c r="E147" s="128"/>
      <c r="F147" s="128"/>
      <c r="G147" s="141"/>
      <c r="H147" s="334"/>
      <c r="I147" s="334"/>
      <c r="J147" s="128"/>
      <c r="K147" s="128"/>
      <c r="L147" s="128"/>
      <c r="M147" s="128">
        <f t="shared" si="35"/>
        <v>0</v>
      </c>
      <c r="N147" s="337"/>
    </row>
    <row r="148" spans="1:14" ht="15">
      <c r="A148" s="162" t="s">
        <v>44</v>
      </c>
      <c r="B148" s="161" t="s">
        <v>51</v>
      </c>
      <c r="C148" s="128">
        <f t="shared" si="34"/>
        <v>0</v>
      </c>
      <c r="D148" s="128"/>
      <c r="E148" s="128"/>
      <c r="F148" s="128"/>
      <c r="G148" s="141"/>
      <c r="H148" s="334"/>
      <c r="I148" s="334"/>
      <c r="J148" s="128"/>
      <c r="K148" s="128"/>
      <c r="L148" s="128"/>
      <c r="M148" s="128">
        <f t="shared" si="35"/>
        <v>0</v>
      </c>
      <c r="N148" s="337"/>
    </row>
    <row r="149" spans="1:14" ht="14.25">
      <c r="A149" s="160" t="s">
        <v>45</v>
      </c>
      <c r="B149" s="161" t="s">
        <v>52</v>
      </c>
      <c r="C149" s="128">
        <f>C135+C120</f>
        <v>350000</v>
      </c>
      <c r="D149" s="128">
        <f aca="true" t="shared" si="39" ref="D149:M149">D135+D120</f>
        <v>350000</v>
      </c>
      <c r="E149" s="128">
        <f t="shared" si="39"/>
        <v>0</v>
      </c>
      <c r="F149" s="128">
        <f t="shared" si="39"/>
        <v>0</v>
      </c>
      <c r="G149" s="128">
        <f t="shared" si="39"/>
        <v>0</v>
      </c>
      <c r="H149" s="128">
        <f t="shared" si="39"/>
        <v>0</v>
      </c>
      <c r="I149" s="128">
        <f t="shared" si="39"/>
        <v>0</v>
      </c>
      <c r="J149" s="128">
        <f t="shared" si="39"/>
        <v>265564</v>
      </c>
      <c r="K149" s="128">
        <f t="shared" si="39"/>
        <v>265564</v>
      </c>
      <c r="L149" s="128">
        <f t="shared" si="39"/>
        <v>149616</v>
      </c>
      <c r="M149" s="128">
        <f t="shared" si="39"/>
        <v>115948</v>
      </c>
      <c r="N149" s="337">
        <f t="shared" si="38"/>
        <v>0.4274742857142857</v>
      </c>
    </row>
    <row r="150" spans="1:14" ht="14.25">
      <c r="A150" s="160" t="s">
        <v>53</v>
      </c>
      <c r="B150" s="161" t="s">
        <v>35</v>
      </c>
      <c r="C150" s="128">
        <f>C126</f>
        <v>6447000</v>
      </c>
      <c r="D150" s="128">
        <f aca="true" t="shared" si="40" ref="D150:M150">D126</f>
        <v>6026000</v>
      </c>
      <c r="E150" s="128">
        <f t="shared" si="40"/>
        <v>0</v>
      </c>
      <c r="F150" s="128">
        <f t="shared" si="40"/>
        <v>0</v>
      </c>
      <c r="G150" s="128">
        <f t="shared" si="40"/>
        <v>0</v>
      </c>
      <c r="H150" s="128">
        <f t="shared" si="40"/>
        <v>0</v>
      </c>
      <c r="I150" s="128">
        <f t="shared" si="40"/>
        <v>0</v>
      </c>
      <c r="J150" s="128">
        <f t="shared" si="40"/>
        <v>6447000</v>
      </c>
      <c r="K150" s="128">
        <f t="shared" si="40"/>
        <v>6447000</v>
      </c>
      <c r="L150" s="128">
        <f t="shared" si="40"/>
        <v>6026000</v>
      </c>
      <c r="M150" s="128">
        <f t="shared" si="40"/>
        <v>421000</v>
      </c>
      <c r="N150" s="337">
        <f t="shared" si="38"/>
        <v>0.9346983092911432</v>
      </c>
    </row>
    <row r="151" spans="1:14" ht="15">
      <c r="A151" s="160" t="s">
        <v>54</v>
      </c>
      <c r="B151" s="161" t="s">
        <v>58</v>
      </c>
      <c r="C151" s="128">
        <f t="shared" si="34"/>
        <v>0</v>
      </c>
      <c r="D151" s="128"/>
      <c r="E151" s="128"/>
      <c r="F151" s="128"/>
      <c r="G151" s="141"/>
      <c r="H151" s="334"/>
      <c r="I151" s="334"/>
      <c r="J151" s="128"/>
      <c r="K151" s="128"/>
      <c r="L151" s="128"/>
      <c r="M151" s="128">
        <f t="shared" si="35"/>
        <v>0</v>
      </c>
      <c r="N151" s="337"/>
    </row>
    <row r="152" spans="1:14" ht="26.25">
      <c r="A152" s="162" t="s">
        <v>55</v>
      </c>
      <c r="B152" s="161" t="s">
        <v>59</v>
      </c>
      <c r="C152" s="128">
        <f>C119</f>
        <v>8350000</v>
      </c>
      <c r="D152" s="128">
        <f>D119</f>
        <v>6000000</v>
      </c>
      <c r="E152" s="128">
        <f>E119</f>
        <v>0</v>
      </c>
      <c r="F152" s="128">
        <f>F119</f>
        <v>0</v>
      </c>
      <c r="G152" s="141">
        <f>G119</f>
        <v>0</v>
      </c>
      <c r="H152" s="437" t="s">
        <v>112</v>
      </c>
      <c r="I152" s="438"/>
      <c r="J152" s="128">
        <f>J119</f>
        <v>7976714</v>
      </c>
      <c r="K152" s="128">
        <f>K119</f>
        <v>7976714</v>
      </c>
      <c r="L152" s="128">
        <f>L119</f>
        <v>4778421</v>
      </c>
      <c r="M152" s="128">
        <f t="shared" si="35"/>
        <v>3198293</v>
      </c>
      <c r="N152" s="337">
        <f t="shared" si="38"/>
        <v>0.5722659880239521</v>
      </c>
    </row>
    <row r="153" spans="1:14" ht="15">
      <c r="A153" s="160" t="s">
        <v>56</v>
      </c>
      <c r="B153" s="161" t="s">
        <v>60</v>
      </c>
      <c r="C153" s="128">
        <f t="shared" si="34"/>
        <v>0</v>
      </c>
      <c r="D153" s="128"/>
      <c r="E153" s="128"/>
      <c r="F153" s="128"/>
      <c r="G153" s="141"/>
      <c r="H153" s="120" t="s">
        <v>106</v>
      </c>
      <c r="I153" s="125">
        <f>C114+C125+C134</f>
        <v>37562650</v>
      </c>
      <c r="J153" s="128"/>
      <c r="K153" s="128"/>
      <c r="L153" s="128"/>
      <c r="M153" s="128">
        <f t="shared" si="35"/>
        <v>0</v>
      </c>
      <c r="N153" s="337"/>
    </row>
    <row r="154" spans="1:14" ht="14.25">
      <c r="A154" s="163" t="s">
        <v>57</v>
      </c>
      <c r="B154" s="164" t="s">
        <v>61</v>
      </c>
      <c r="C154" s="165">
        <f>C132</f>
        <v>0</v>
      </c>
      <c r="D154" s="165">
        <f aca="true" t="shared" si="41" ref="D154:L154">D132</f>
        <v>0</v>
      </c>
      <c r="E154" s="165">
        <f t="shared" si="41"/>
        <v>0</v>
      </c>
      <c r="F154" s="165">
        <f t="shared" si="41"/>
        <v>0</v>
      </c>
      <c r="G154" s="165">
        <f t="shared" si="41"/>
        <v>0</v>
      </c>
      <c r="H154" s="165">
        <f t="shared" si="41"/>
        <v>0</v>
      </c>
      <c r="I154" s="165">
        <f t="shared" si="41"/>
        <v>0</v>
      </c>
      <c r="J154" s="165">
        <f t="shared" si="41"/>
        <v>0</v>
      </c>
      <c r="K154" s="165">
        <f t="shared" si="41"/>
        <v>0</v>
      </c>
      <c r="L154" s="165">
        <f t="shared" si="41"/>
        <v>0</v>
      </c>
      <c r="M154" s="128">
        <f t="shared" si="35"/>
        <v>0</v>
      </c>
      <c r="N154" s="337"/>
    </row>
    <row r="155" spans="1:14" ht="15" thickBot="1">
      <c r="A155" s="304" t="s">
        <v>7</v>
      </c>
      <c r="B155" s="166" t="s">
        <v>61</v>
      </c>
      <c r="C155" s="165"/>
      <c r="D155" s="167">
        <f aca="true" t="shared" si="42" ref="D155:I155">D139</f>
        <v>0</v>
      </c>
      <c r="E155" s="167">
        <f t="shared" si="42"/>
        <v>0</v>
      </c>
      <c r="F155" s="167">
        <f t="shared" si="42"/>
        <v>0</v>
      </c>
      <c r="G155" s="167">
        <f t="shared" si="42"/>
        <v>0</v>
      </c>
      <c r="H155" s="167">
        <f t="shared" si="42"/>
        <v>0</v>
      </c>
      <c r="I155" s="167">
        <f t="shared" si="42"/>
        <v>0</v>
      </c>
      <c r="J155" s="167">
        <f>J139</f>
        <v>-91818</v>
      </c>
      <c r="K155" s="167">
        <f>K139</f>
        <v>-91818</v>
      </c>
      <c r="L155" s="167">
        <f>L139</f>
        <v>-91818</v>
      </c>
      <c r="M155" s="165"/>
      <c r="N155" s="338"/>
    </row>
    <row r="156" spans="1:14" ht="24.75" customHeight="1" thickBot="1">
      <c r="A156" s="288" t="s">
        <v>62</v>
      </c>
      <c r="B156" s="289" t="s">
        <v>161</v>
      </c>
      <c r="C156" s="290">
        <f>C157+C161+C167+C170+C175+C182</f>
        <v>43680000</v>
      </c>
      <c r="D156" s="290">
        <f aca="true" t="shared" si="43" ref="D156:M156">D157+D161+D167+D170+D175+D182</f>
        <v>36640000</v>
      </c>
      <c r="E156" s="290">
        <f t="shared" si="43"/>
        <v>0</v>
      </c>
      <c r="F156" s="290">
        <f t="shared" si="43"/>
        <v>0</v>
      </c>
      <c r="G156" s="290">
        <f t="shared" si="43"/>
        <v>0</v>
      </c>
      <c r="H156" s="290">
        <f t="shared" si="43"/>
        <v>0</v>
      </c>
      <c r="I156" s="290">
        <f t="shared" si="43"/>
        <v>0</v>
      </c>
      <c r="J156" s="290">
        <f t="shared" si="43"/>
        <v>34496063</v>
      </c>
      <c r="K156" s="290">
        <f t="shared" si="43"/>
        <v>34496063</v>
      </c>
      <c r="L156" s="290">
        <f t="shared" si="43"/>
        <v>32977258</v>
      </c>
      <c r="M156" s="290">
        <f t="shared" si="43"/>
        <v>1518805</v>
      </c>
      <c r="N156" s="291">
        <f aca="true" t="shared" si="44" ref="N156:N163">L156/C156</f>
        <v>0.7549738553113553</v>
      </c>
    </row>
    <row r="157" spans="1:14" ht="15">
      <c r="A157" s="300" t="s">
        <v>152</v>
      </c>
      <c r="B157" s="303"/>
      <c r="C157" s="302">
        <f>C158+C159+C160</f>
        <v>19420000</v>
      </c>
      <c r="D157" s="302">
        <f aca="true" t="shared" si="45" ref="D157:M157">D158+D159+D160</f>
        <v>16250000</v>
      </c>
      <c r="E157" s="302">
        <f t="shared" si="45"/>
        <v>0</v>
      </c>
      <c r="F157" s="302">
        <f t="shared" si="45"/>
        <v>0</v>
      </c>
      <c r="G157" s="302">
        <f t="shared" si="45"/>
        <v>0</v>
      </c>
      <c r="H157" s="302">
        <f t="shared" si="45"/>
        <v>0</v>
      </c>
      <c r="I157" s="302">
        <f t="shared" si="45"/>
        <v>0</v>
      </c>
      <c r="J157" s="302">
        <f t="shared" si="45"/>
        <v>16250000</v>
      </c>
      <c r="K157" s="302">
        <f t="shared" si="45"/>
        <v>16250000</v>
      </c>
      <c r="L157" s="302">
        <f t="shared" si="45"/>
        <v>14731195</v>
      </c>
      <c r="M157" s="302">
        <f t="shared" si="45"/>
        <v>1518805</v>
      </c>
      <c r="N157" s="343">
        <f t="shared" si="44"/>
        <v>0.758557929969104</v>
      </c>
    </row>
    <row r="158" spans="1:14" ht="15">
      <c r="A158" s="237" t="s">
        <v>240</v>
      </c>
      <c r="B158" s="168" t="s">
        <v>216</v>
      </c>
      <c r="C158" s="118">
        <v>6120000</v>
      </c>
      <c r="D158" s="116">
        <v>5250000</v>
      </c>
      <c r="E158" s="116"/>
      <c r="F158" s="116"/>
      <c r="G158" s="116"/>
      <c r="H158" s="116"/>
      <c r="I158" s="116"/>
      <c r="J158" s="116">
        <v>5250000</v>
      </c>
      <c r="K158" s="116">
        <v>5250000</v>
      </c>
      <c r="L158" s="116">
        <v>4812044</v>
      </c>
      <c r="M158" s="116">
        <f>J158-L158</f>
        <v>437956</v>
      </c>
      <c r="N158" s="336">
        <f t="shared" si="44"/>
        <v>0.7862816993464052</v>
      </c>
    </row>
    <row r="159" spans="1:14" ht="15" hidden="1">
      <c r="A159" s="140" t="s">
        <v>63</v>
      </c>
      <c r="B159" s="168" t="s">
        <v>69</v>
      </c>
      <c r="C159" s="118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>
        <f>J159-L159</f>
        <v>0</v>
      </c>
      <c r="N159" s="336" t="e">
        <f t="shared" si="44"/>
        <v>#DIV/0!</v>
      </c>
    </row>
    <row r="160" spans="1:14" ht="15">
      <c r="A160" s="140" t="s">
        <v>64</v>
      </c>
      <c r="B160" s="168" t="s">
        <v>174</v>
      </c>
      <c r="C160" s="118">
        <v>13300000</v>
      </c>
      <c r="D160" s="116">
        <v>11000000</v>
      </c>
      <c r="E160" s="116"/>
      <c r="F160" s="116"/>
      <c r="G160" s="116"/>
      <c r="H160" s="116"/>
      <c r="I160" s="116"/>
      <c r="J160" s="116">
        <v>11000000</v>
      </c>
      <c r="K160" s="116">
        <v>11000000</v>
      </c>
      <c r="L160" s="116">
        <v>9919151</v>
      </c>
      <c r="M160" s="116">
        <f>J160-L160</f>
        <v>1080849</v>
      </c>
      <c r="N160" s="336">
        <f t="shared" si="44"/>
        <v>0.7458008270676691</v>
      </c>
    </row>
    <row r="161" spans="1:14" ht="15">
      <c r="A161" s="144" t="s">
        <v>153</v>
      </c>
      <c r="B161" s="150"/>
      <c r="C161" s="146">
        <f>C162+C163+C164</f>
        <v>1050000</v>
      </c>
      <c r="D161" s="146">
        <f aca="true" t="shared" si="46" ref="D161:M161">D162+D163+D164</f>
        <v>1050000</v>
      </c>
      <c r="E161" s="146">
        <f t="shared" si="46"/>
        <v>0</v>
      </c>
      <c r="F161" s="146">
        <f t="shared" si="46"/>
        <v>0</v>
      </c>
      <c r="G161" s="146">
        <f t="shared" si="46"/>
        <v>0</v>
      </c>
      <c r="H161" s="146">
        <f t="shared" si="46"/>
        <v>0</v>
      </c>
      <c r="I161" s="146">
        <f t="shared" si="46"/>
        <v>0</v>
      </c>
      <c r="J161" s="146">
        <f>J162+J163+J164</f>
        <v>722318</v>
      </c>
      <c r="K161" s="146">
        <f>K162+K163+K164</f>
        <v>722318</v>
      </c>
      <c r="L161" s="146">
        <f t="shared" si="46"/>
        <v>722318</v>
      </c>
      <c r="M161" s="146">
        <f t="shared" si="46"/>
        <v>0</v>
      </c>
      <c r="N161" s="346">
        <f t="shared" si="44"/>
        <v>0.6879219047619047</v>
      </c>
    </row>
    <row r="162" spans="1:14" ht="15">
      <c r="A162" s="237" t="s">
        <v>240</v>
      </c>
      <c r="B162" s="168" t="s">
        <v>216</v>
      </c>
      <c r="C162" s="116">
        <v>1050000</v>
      </c>
      <c r="D162" s="116">
        <v>1050000</v>
      </c>
      <c r="E162" s="116"/>
      <c r="F162" s="116"/>
      <c r="G162" s="116"/>
      <c r="H162" s="116"/>
      <c r="I162" s="116"/>
      <c r="J162" s="116">
        <v>722318</v>
      </c>
      <c r="K162" s="116">
        <v>722318</v>
      </c>
      <c r="L162" s="116">
        <v>722318</v>
      </c>
      <c r="M162" s="116">
        <f>J162-L162</f>
        <v>0</v>
      </c>
      <c r="N162" s="336">
        <f t="shared" si="44"/>
        <v>0.6879219047619047</v>
      </c>
    </row>
    <row r="163" spans="1:14" ht="15" hidden="1">
      <c r="A163" s="140" t="s">
        <v>63</v>
      </c>
      <c r="B163" s="168" t="s">
        <v>69</v>
      </c>
      <c r="C163" s="116">
        <v>0</v>
      </c>
      <c r="D163" s="116">
        <v>0</v>
      </c>
      <c r="E163" s="116"/>
      <c r="F163" s="116"/>
      <c r="G163" s="117"/>
      <c r="H163" s="334"/>
      <c r="I163" s="334"/>
      <c r="J163" s="116">
        <v>0</v>
      </c>
      <c r="K163" s="116">
        <v>0</v>
      </c>
      <c r="L163" s="116">
        <v>0</v>
      </c>
      <c r="M163" s="116">
        <f>J163-L163</f>
        <v>0</v>
      </c>
      <c r="N163" s="336" t="e">
        <f t="shared" si="44"/>
        <v>#DIV/0!</v>
      </c>
    </row>
    <row r="164" spans="1:14" ht="15" hidden="1">
      <c r="A164" s="140" t="s">
        <v>200</v>
      </c>
      <c r="B164" s="168" t="s">
        <v>68</v>
      </c>
      <c r="C164" s="116"/>
      <c r="D164" s="116"/>
      <c r="E164" s="116"/>
      <c r="F164" s="116"/>
      <c r="G164" s="117"/>
      <c r="H164" s="334"/>
      <c r="I164" s="334"/>
      <c r="J164" s="116"/>
      <c r="K164" s="116"/>
      <c r="L164" s="116"/>
      <c r="M164" s="116">
        <f>J164-L164</f>
        <v>0</v>
      </c>
      <c r="N164" s="336"/>
    </row>
    <row r="165" spans="1:14" ht="15" hidden="1">
      <c r="A165" s="115" t="s">
        <v>0</v>
      </c>
      <c r="B165" s="138"/>
      <c r="C165" s="116"/>
      <c r="D165" s="116"/>
      <c r="E165" s="116"/>
      <c r="F165" s="116"/>
      <c r="G165" s="117"/>
      <c r="H165" s="334"/>
      <c r="I165" s="334"/>
      <c r="J165" s="116"/>
      <c r="K165" s="116"/>
      <c r="L165" s="116"/>
      <c r="M165" s="116"/>
      <c r="N165" s="336"/>
    </row>
    <row r="166" spans="1:14" ht="15" hidden="1">
      <c r="A166" s="115" t="s">
        <v>1</v>
      </c>
      <c r="B166" s="138"/>
      <c r="C166" s="116"/>
      <c r="D166" s="116"/>
      <c r="E166" s="116"/>
      <c r="F166" s="116"/>
      <c r="G166" s="117"/>
      <c r="H166" s="334"/>
      <c r="I166" s="334"/>
      <c r="J166" s="116"/>
      <c r="K166" s="116"/>
      <c r="L166" s="116"/>
      <c r="M166" s="116"/>
      <c r="N166" s="336"/>
    </row>
    <row r="167" spans="1:14" ht="15" hidden="1">
      <c r="A167" s="144" t="s">
        <v>151</v>
      </c>
      <c r="B167" s="150"/>
      <c r="C167" s="146">
        <f>C168</f>
        <v>0</v>
      </c>
      <c r="D167" s="146">
        <f aca="true" t="shared" si="47" ref="D167:M167">D168</f>
        <v>0</v>
      </c>
      <c r="E167" s="146">
        <f t="shared" si="47"/>
        <v>0</v>
      </c>
      <c r="F167" s="146">
        <f t="shared" si="47"/>
        <v>0</v>
      </c>
      <c r="G167" s="146">
        <f t="shared" si="47"/>
        <v>0</v>
      </c>
      <c r="H167" s="146">
        <f t="shared" si="47"/>
        <v>0</v>
      </c>
      <c r="I167" s="146">
        <f t="shared" si="47"/>
        <v>0</v>
      </c>
      <c r="J167" s="146">
        <f t="shared" si="47"/>
        <v>0</v>
      </c>
      <c r="K167" s="146">
        <f t="shared" si="47"/>
        <v>0</v>
      </c>
      <c r="L167" s="146">
        <f t="shared" si="47"/>
        <v>0</v>
      </c>
      <c r="M167" s="146">
        <f t="shared" si="47"/>
        <v>0</v>
      </c>
      <c r="N167" s="346"/>
    </row>
    <row r="168" spans="1:14" ht="15" hidden="1">
      <c r="A168" s="140" t="s">
        <v>65</v>
      </c>
      <c r="B168" s="138" t="s">
        <v>70</v>
      </c>
      <c r="C168" s="116">
        <v>0</v>
      </c>
      <c r="D168" s="116"/>
      <c r="E168" s="116"/>
      <c r="F168" s="116"/>
      <c r="G168" s="117"/>
      <c r="H168" s="334"/>
      <c r="I168" s="334"/>
      <c r="J168" s="116"/>
      <c r="K168" s="116"/>
      <c r="L168" s="116"/>
      <c r="M168" s="116">
        <f>J168-L168</f>
        <v>0</v>
      </c>
      <c r="N168" s="336"/>
    </row>
    <row r="169" spans="1:14" ht="15" hidden="1">
      <c r="A169" s="115" t="s">
        <v>2</v>
      </c>
      <c r="B169" s="138"/>
      <c r="C169" s="116"/>
      <c r="D169" s="116"/>
      <c r="E169" s="116"/>
      <c r="F169" s="116"/>
      <c r="G169" s="117"/>
      <c r="H169" s="334"/>
      <c r="I169" s="334"/>
      <c r="J169" s="116"/>
      <c r="K169" s="116"/>
      <c r="L169" s="116"/>
      <c r="M169" s="116"/>
      <c r="N169" s="336"/>
    </row>
    <row r="170" spans="1:14" ht="15">
      <c r="A170" s="144" t="s">
        <v>66</v>
      </c>
      <c r="B170" s="150"/>
      <c r="C170" s="146">
        <f>C172+C173+C174+C171</f>
        <v>21110000</v>
      </c>
      <c r="D170" s="146">
        <f aca="true" t="shared" si="48" ref="D170:M170">D172+D173+D174+D171</f>
        <v>17640000</v>
      </c>
      <c r="E170" s="146">
        <f t="shared" si="48"/>
        <v>0</v>
      </c>
      <c r="F170" s="146">
        <f t="shared" si="48"/>
        <v>0</v>
      </c>
      <c r="G170" s="146">
        <f t="shared" si="48"/>
        <v>0</v>
      </c>
      <c r="H170" s="146">
        <f t="shared" si="48"/>
        <v>0</v>
      </c>
      <c r="I170" s="146">
        <f t="shared" si="48"/>
        <v>0</v>
      </c>
      <c r="J170" s="146">
        <f t="shared" si="48"/>
        <v>16373028</v>
      </c>
      <c r="K170" s="146">
        <f t="shared" si="48"/>
        <v>16373028</v>
      </c>
      <c r="L170" s="146">
        <f t="shared" si="48"/>
        <v>16373028</v>
      </c>
      <c r="M170" s="146">
        <f t="shared" si="48"/>
        <v>0</v>
      </c>
      <c r="N170" s="346">
        <f aca="true" t="shared" si="49" ref="N170:N181">L170/C170</f>
        <v>0.7756053055423969</v>
      </c>
    </row>
    <row r="171" spans="1:14" s="169" customFormat="1" ht="15" hidden="1">
      <c r="A171" s="148" t="s">
        <v>225</v>
      </c>
      <c r="B171" s="151" t="s">
        <v>71</v>
      </c>
      <c r="C171" s="118">
        <v>0</v>
      </c>
      <c r="D171" s="118">
        <v>0</v>
      </c>
      <c r="E171" s="118"/>
      <c r="F171" s="118"/>
      <c r="G171" s="118"/>
      <c r="H171" s="118"/>
      <c r="I171" s="118"/>
      <c r="J171" s="118"/>
      <c r="K171" s="118"/>
      <c r="L171" s="118"/>
      <c r="M171" s="118">
        <f>J171-L171</f>
        <v>0</v>
      </c>
      <c r="N171" s="345" t="e">
        <f t="shared" si="49"/>
        <v>#DIV/0!</v>
      </c>
    </row>
    <row r="172" spans="1:14" ht="15">
      <c r="A172" s="140" t="s">
        <v>198</v>
      </c>
      <c r="B172" s="138" t="s">
        <v>71</v>
      </c>
      <c r="C172" s="118">
        <v>60000</v>
      </c>
      <c r="D172" s="118">
        <v>40000</v>
      </c>
      <c r="E172" s="118"/>
      <c r="F172" s="118"/>
      <c r="G172" s="118"/>
      <c r="H172" s="118"/>
      <c r="I172" s="118"/>
      <c r="J172" s="118">
        <v>13848</v>
      </c>
      <c r="K172" s="118">
        <v>13848</v>
      </c>
      <c r="L172" s="118">
        <v>13848</v>
      </c>
      <c r="M172" s="118">
        <f>J172-L172</f>
        <v>0</v>
      </c>
      <c r="N172" s="345">
        <f t="shared" si="49"/>
        <v>0.2308</v>
      </c>
    </row>
    <row r="173" spans="1:14" ht="15">
      <c r="A173" s="140" t="s">
        <v>199</v>
      </c>
      <c r="B173" s="138" t="s">
        <v>216</v>
      </c>
      <c r="C173" s="118">
        <v>50000</v>
      </c>
      <c r="D173" s="118">
        <v>50000</v>
      </c>
      <c r="E173" s="118"/>
      <c r="F173" s="118"/>
      <c r="G173" s="118"/>
      <c r="H173" s="118"/>
      <c r="I173" s="118"/>
      <c r="J173" s="118">
        <v>15000</v>
      </c>
      <c r="K173" s="118">
        <v>15000</v>
      </c>
      <c r="L173" s="118">
        <v>15000</v>
      </c>
      <c r="M173" s="118">
        <f>J173-L173</f>
        <v>0</v>
      </c>
      <c r="N173" s="345">
        <f t="shared" si="49"/>
        <v>0.3</v>
      </c>
    </row>
    <row r="174" spans="1:14" ht="15">
      <c r="A174" s="140" t="s">
        <v>67</v>
      </c>
      <c r="B174" s="138" t="s">
        <v>174</v>
      </c>
      <c r="C174" s="116">
        <v>21000000</v>
      </c>
      <c r="D174" s="116">
        <v>17550000</v>
      </c>
      <c r="E174" s="116"/>
      <c r="F174" s="116"/>
      <c r="G174" s="116"/>
      <c r="H174" s="116"/>
      <c r="I174" s="116"/>
      <c r="J174" s="116">
        <v>16344180</v>
      </c>
      <c r="K174" s="116">
        <v>16344180</v>
      </c>
      <c r="L174" s="116">
        <v>16344180</v>
      </c>
      <c r="M174" s="116">
        <f>J174-L174</f>
        <v>0</v>
      </c>
      <c r="N174" s="345">
        <f t="shared" si="49"/>
        <v>0.7782942857142857</v>
      </c>
    </row>
    <row r="175" spans="1:14" ht="15">
      <c r="A175" s="144" t="s">
        <v>4</v>
      </c>
      <c r="B175" s="150"/>
      <c r="C175" s="146">
        <f>C179+C178+C176+C177</f>
        <v>2100000</v>
      </c>
      <c r="D175" s="146">
        <f aca="true" t="shared" si="50" ref="D175:M175">D179+D178+D176+D177</f>
        <v>1700000</v>
      </c>
      <c r="E175" s="146">
        <f t="shared" si="50"/>
        <v>0</v>
      </c>
      <c r="F175" s="146">
        <f t="shared" si="50"/>
        <v>0</v>
      </c>
      <c r="G175" s="146">
        <f t="shared" si="50"/>
        <v>0</v>
      </c>
      <c r="H175" s="146">
        <f t="shared" si="50"/>
        <v>0</v>
      </c>
      <c r="I175" s="146">
        <f t="shared" si="50"/>
        <v>0</v>
      </c>
      <c r="J175" s="146">
        <f t="shared" si="50"/>
        <v>1296115</v>
      </c>
      <c r="K175" s="146">
        <f t="shared" si="50"/>
        <v>1296115</v>
      </c>
      <c r="L175" s="146">
        <f t="shared" si="50"/>
        <v>1296115</v>
      </c>
      <c r="M175" s="146">
        <f t="shared" si="50"/>
        <v>0</v>
      </c>
      <c r="N175" s="346">
        <f t="shared" si="49"/>
        <v>0.617197619047619</v>
      </c>
    </row>
    <row r="176" spans="1:14" ht="15">
      <c r="A176" s="237" t="s">
        <v>247</v>
      </c>
      <c r="B176" s="138" t="s">
        <v>216</v>
      </c>
      <c r="C176" s="118">
        <v>1600000</v>
      </c>
      <c r="D176" s="118">
        <v>1200000</v>
      </c>
      <c r="E176" s="118"/>
      <c r="F176" s="118"/>
      <c r="G176" s="118"/>
      <c r="H176" s="118"/>
      <c r="I176" s="118"/>
      <c r="J176" s="118">
        <v>939038</v>
      </c>
      <c r="K176" s="118">
        <v>939038</v>
      </c>
      <c r="L176" s="118">
        <v>939038</v>
      </c>
      <c r="M176" s="116">
        <f>J176-L176</f>
        <v>0</v>
      </c>
      <c r="N176" s="336">
        <f t="shared" si="49"/>
        <v>0.58689875</v>
      </c>
    </row>
    <row r="177" spans="1:14" ht="15">
      <c r="A177" s="237" t="s">
        <v>248</v>
      </c>
      <c r="B177" s="264" t="s">
        <v>216</v>
      </c>
      <c r="C177" s="118">
        <v>65000</v>
      </c>
      <c r="D177" s="118">
        <v>65000</v>
      </c>
      <c r="E177" s="118"/>
      <c r="F177" s="118"/>
      <c r="G177" s="118"/>
      <c r="H177" s="118"/>
      <c r="I177" s="118"/>
      <c r="J177" s="118">
        <v>43334</v>
      </c>
      <c r="K177" s="118">
        <v>43334</v>
      </c>
      <c r="L177" s="118">
        <v>43334</v>
      </c>
      <c r="M177" s="116">
        <f>J177-L177</f>
        <v>0</v>
      </c>
      <c r="N177" s="336">
        <f t="shared" si="49"/>
        <v>0.6666769230769231</v>
      </c>
    </row>
    <row r="178" spans="1:14" ht="15" hidden="1">
      <c r="A178" s="231" t="s">
        <v>237</v>
      </c>
      <c r="B178" s="232" t="s">
        <v>69</v>
      </c>
      <c r="C178" s="118">
        <v>0</v>
      </c>
      <c r="D178" s="118">
        <v>0</v>
      </c>
      <c r="E178" s="118"/>
      <c r="F178" s="118"/>
      <c r="G178" s="118"/>
      <c r="H178" s="118"/>
      <c r="I178" s="118"/>
      <c r="J178" s="118">
        <v>0</v>
      </c>
      <c r="K178" s="118">
        <v>0</v>
      </c>
      <c r="L178" s="118">
        <v>0</v>
      </c>
      <c r="M178" s="116">
        <f>J178-L178</f>
        <v>0</v>
      </c>
      <c r="N178" s="336" t="e">
        <f t="shared" si="49"/>
        <v>#DIV/0!</v>
      </c>
    </row>
    <row r="179" spans="1:14" ht="15">
      <c r="A179" s="230" t="s">
        <v>64</v>
      </c>
      <c r="B179" s="233" t="s">
        <v>174</v>
      </c>
      <c r="C179" s="116">
        <v>435000</v>
      </c>
      <c r="D179" s="116">
        <v>435000</v>
      </c>
      <c r="E179" s="116"/>
      <c r="F179" s="116"/>
      <c r="G179" s="116"/>
      <c r="H179" s="116"/>
      <c r="I179" s="116"/>
      <c r="J179" s="116">
        <v>313743</v>
      </c>
      <c r="K179" s="116">
        <v>313743</v>
      </c>
      <c r="L179" s="116">
        <v>313743</v>
      </c>
      <c r="M179" s="116">
        <f>J179-L179</f>
        <v>0</v>
      </c>
      <c r="N179" s="336">
        <f t="shared" si="49"/>
        <v>0.721248275862069</v>
      </c>
    </row>
    <row r="180" spans="1:14" ht="15" hidden="1">
      <c r="A180" s="115" t="s">
        <v>5</v>
      </c>
      <c r="B180" s="119"/>
      <c r="C180" s="116"/>
      <c r="D180" s="116"/>
      <c r="E180" s="116"/>
      <c r="F180" s="116"/>
      <c r="G180" s="117"/>
      <c r="H180" s="334"/>
      <c r="I180" s="334"/>
      <c r="J180" s="116"/>
      <c r="K180" s="116"/>
      <c r="L180" s="116"/>
      <c r="M180" s="116"/>
      <c r="N180" s="336" t="e">
        <f t="shared" si="49"/>
        <v>#DIV/0!</v>
      </c>
    </row>
    <row r="181" spans="1:14" ht="15" hidden="1">
      <c r="A181" s="115" t="s">
        <v>6</v>
      </c>
      <c r="B181" s="119"/>
      <c r="C181" s="116"/>
      <c r="D181" s="116"/>
      <c r="E181" s="116"/>
      <c r="F181" s="116"/>
      <c r="G181" s="117"/>
      <c r="H181" s="334"/>
      <c r="I181" s="334"/>
      <c r="J181" s="116"/>
      <c r="K181" s="116"/>
      <c r="L181" s="116"/>
      <c r="M181" s="116"/>
      <c r="N181" s="336" t="e">
        <f t="shared" si="49"/>
        <v>#DIV/0!</v>
      </c>
    </row>
    <row r="182" spans="1:14" ht="15">
      <c r="A182" s="122" t="s">
        <v>7</v>
      </c>
      <c r="B182" s="119"/>
      <c r="C182" s="116"/>
      <c r="D182" s="116"/>
      <c r="E182" s="116"/>
      <c r="F182" s="116"/>
      <c r="G182" s="117"/>
      <c r="H182" s="334"/>
      <c r="I182" s="334"/>
      <c r="J182" s="123">
        <f>K182</f>
        <v>-145398</v>
      </c>
      <c r="K182" s="123">
        <f>L182</f>
        <v>-145398</v>
      </c>
      <c r="L182" s="123">
        <v>-145398</v>
      </c>
      <c r="M182" s="116"/>
      <c r="N182" s="336"/>
    </row>
    <row r="183" spans="1:14" ht="15">
      <c r="A183" s="124" t="s">
        <v>8</v>
      </c>
      <c r="B183" s="119"/>
      <c r="C183" s="116"/>
      <c r="D183" s="116"/>
      <c r="E183" s="116"/>
      <c r="F183" s="116"/>
      <c r="G183" s="117"/>
      <c r="H183" s="334"/>
      <c r="I183" s="334"/>
      <c r="J183" s="116"/>
      <c r="K183" s="116"/>
      <c r="L183" s="116"/>
      <c r="M183" s="116"/>
      <c r="N183" s="336"/>
    </row>
    <row r="184" spans="1:14" ht="14.25">
      <c r="A184" s="160" t="s">
        <v>76</v>
      </c>
      <c r="B184" s="170" t="s">
        <v>174</v>
      </c>
      <c r="C184" s="128">
        <f>C174+C160+C179</f>
        <v>34735000</v>
      </c>
      <c r="D184" s="128">
        <f aca="true" t="shared" si="51" ref="D184:M184">D174+D160+D179</f>
        <v>28985000</v>
      </c>
      <c r="E184" s="128">
        <f t="shared" si="51"/>
        <v>0</v>
      </c>
      <c r="F184" s="128">
        <f t="shared" si="51"/>
        <v>0</v>
      </c>
      <c r="G184" s="128">
        <f t="shared" si="51"/>
        <v>0</v>
      </c>
      <c r="H184" s="128">
        <f t="shared" si="51"/>
        <v>0</v>
      </c>
      <c r="I184" s="128">
        <f t="shared" si="51"/>
        <v>0</v>
      </c>
      <c r="J184" s="128">
        <f t="shared" si="51"/>
        <v>27657923</v>
      </c>
      <c r="K184" s="128">
        <f t="shared" si="51"/>
        <v>27657923</v>
      </c>
      <c r="L184" s="128">
        <f t="shared" si="51"/>
        <v>26577074</v>
      </c>
      <c r="M184" s="128">
        <f t="shared" si="51"/>
        <v>1080849</v>
      </c>
      <c r="N184" s="337">
        <f>L184/C184</f>
        <v>0.7651381603569887</v>
      </c>
    </row>
    <row r="185" spans="1:14" ht="14.25">
      <c r="A185" s="160" t="s">
        <v>72</v>
      </c>
      <c r="B185" s="170" t="s">
        <v>70</v>
      </c>
      <c r="C185" s="128">
        <f>C168</f>
        <v>0</v>
      </c>
      <c r="D185" s="128">
        <f aca="true" t="shared" si="52" ref="D185:L185">D168</f>
        <v>0</v>
      </c>
      <c r="E185" s="128">
        <f t="shared" si="52"/>
        <v>0</v>
      </c>
      <c r="F185" s="128">
        <f t="shared" si="52"/>
        <v>0</v>
      </c>
      <c r="G185" s="128">
        <f t="shared" si="52"/>
        <v>0</v>
      </c>
      <c r="H185" s="128">
        <f t="shared" si="52"/>
        <v>0</v>
      </c>
      <c r="I185" s="128">
        <f t="shared" si="52"/>
        <v>0</v>
      </c>
      <c r="J185" s="128">
        <f t="shared" si="52"/>
        <v>0</v>
      </c>
      <c r="K185" s="128">
        <f t="shared" si="52"/>
        <v>0</v>
      </c>
      <c r="L185" s="128">
        <f t="shared" si="52"/>
        <v>0</v>
      </c>
      <c r="M185" s="128">
        <f>J185-L185</f>
        <v>0</v>
      </c>
      <c r="N185" s="337"/>
    </row>
    <row r="186" spans="1:14" ht="15" hidden="1">
      <c r="A186" s="160" t="s">
        <v>73</v>
      </c>
      <c r="B186" s="170" t="s">
        <v>69</v>
      </c>
      <c r="C186" s="128">
        <f>C159+C163+C178</f>
        <v>0</v>
      </c>
      <c r="D186" s="128">
        <f>D163+D159+D178</f>
        <v>0</v>
      </c>
      <c r="E186" s="128">
        <f>E163+E159</f>
        <v>0</v>
      </c>
      <c r="F186" s="128">
        <f>F163+F159</f>
        <v>0</v>
      </c>
      <c r="G186" s="141">
        <f>G163+G159</f>
        <v>0</v>
      </c>
      <c r="H186" s="437" t="s">
        <v>111</v>
      </c>
      <c r="I186" s="438"/>
      <c r="J186" s="128">
        <f>J159+J163+J178</f>
        <v>0</v>
      </c>
      <c r="K186" s="128">
        <f>K159+K163+K178</f>
        <v>0</v>
      </c>
      <c r="L186" s="128">
        <f>L159+L163+L178</f>
        <v>0</v>
      </c>
      <c r="M186" s="128">
        <f>M159+M163+M178</f>
        <v>0</v>
      </c>
      <c r="N186" s="337" t="e">
        <f>L186/C186</f>
        <v>#DIV/0!</v>
      </c>
    </row>
    <row r="187" spans="1:14" ht="14.25">
      <c r="A187" s="160" t="s">
        <v>74</v>
      </c>
      <c r="B187" s="170" t="s">
        <v>71</v>
      </c>
      <c r="C187" s="128">
        <f aca="true" t="shared" si="53" ref="C187:I187">C172+C171</f>
        <v>60000</v>
      </c>
      <c r="D187" s="128">
        <f t="shared" si="53"/>
        <v>40000</v>
      </c>
      <c r="E187" s="128">
        <f t="shared" si="53"/>
        <v>0</v>
      </c>
      <c r="F187" s="128">
        <f t="shared" si="53"/>
        <v>0</v>
      </c>
      <c r="G187" s="128">
        <f t="shared" si="53"/>
        <v>0</v>
      </c>
      <c r="H187" s="128">
        <f t="shared" si="53"/>
        <v>0</v>
      </c>
      <c r="I187" s="128">
        <f t="shared" si="53"/>
        <v>0</v>
      </c>
      <c r="J187" s="128">
        <f>J172+J171</f>
        <v>13848</v>
      </c>
      <c r="K187" s="128">
        <f>K172+K171</f>
        <v>13848</v>
      </c>
      <c r="L187" s="128">
        <f>L172+L171</f>
        <v>13848</v>
      </c>
      <c r="M187" s="128">
        <f>J187-L187</f>
        <v>0</v>
      </c>
      <c r="N187" s="337">
        <f>L187/C187</f>
        <v>0.2308</v>
      </c>
    </row>
    <row r="188" spans="1:14" ht="14.25">
      <c r="A188" s="163" t="s">
        <v>75</v>
      </c>
      <c r="B188" s="170" t="s">
        <v>216</v>
      </c>
      <c r="C188" s="165">
        <f>C176+C173+C162+C158+C177</f>
        <v>8885000</v>
      </c>
      <c r="D188" s="165">
        <f aca="true" t="shared" si="54" ref="D188:M188">D176+D173+D162+D158+D177</f>
        <v>7615000</v>
      </c>
      <c r="E188" s="165">
        <f t="shared" si="54"/>
        <v>0</v>
      </c>
      <c r="F188" s="165">
        <f t="shared" si="54"/>
        <v>0</v>
      </c>
      <c r="G188" s="165">
        <f t="shared" si="54"/>
        <v>0</v>
      </c>
      <c r="H188" s="165">
        <f t="shared" si="54"/>
        <v>0</v>
      </c>
      <c r="I188" s="165">
        <f t="shared" si="54"/>
        <v>0</v>
      </c>
      <c r="J188" s="165">
        <f t="shared" si="54"/>
        <v>6969690</v>
      </c>
      <c r="K188" s="165">
        <f t="shared" si="54"/>
        <v>6969690</v>
      </c>
      <c r="L188" s="165">
        <f t="shared" si="54"/>
        <v>6531734</v>
      </c>
      <c r="M188" s="165">
        <f t="shared" si="54"/>
        <v>437956</v>
      </c>
      <c r="N188" s="337">
        <f>L188/C188</f>
        <v>0.7351416994935284</v>
      </c>
    </row>
    <row r="189" spans="1:14" ht="15" thickBot="1">
      <c r="A189" s="292" t="s">
        <v>7</v>
      </c>
      <c r="B189" s="171"/>
      <c r="C189" s="165"/>
      <c r="D189" s="165"/>
      <c r="E189" s="165"/>
      <c r="F189" s="165"/>
      <c r="G189" s="165"/>
      <c r="H189" s="165"/>
      <c r="I189" s="165"/>
      <c r="J189" s="167">
        <f>J182</f>
        <v>-145398</v>
      </c>
      <c r="K189" s="167">
        <f>K182</f>
        <v>-145398</v>
      </c>
      <c r="L189" s="167">
        <f>L182</f>
        <v>-145398</v>
      </c>
      <c r="M189" s="165"/>
      <c r="N189" s="338"/>
    </row>
    <row r="190" spans="1:14" ht="24.75" customHeight="1" thickBot="1">
      <c r="A190" s="288" t="s">
        <v>77</v>
      </c>
      <c r="B190" s="289" t="s">
        <v>161</v>
      </c>
      <c r="C190" s="290">
        <f>C192+C197+C202+C204+C205</f>
        <v>27176642</v>
      </c>
      <c r="D190" s="290">
        <f aca="true" t="shared" si="55" ref="D190:M190">D192+D197+D202+D204+D205</f>
        <v>21564642</v>
      </c>
      <c r="E190" s="290">
        <f t="shared" si="55"/>
        <v>0</v>
      </c>
      <c r="F190" s="290">
        <f t="shared" si="55"/>
        <v>0</v>
      </c>
      <c r="G190" s="290">
        <f t="shared" si="55"/>
        <v>0</v>
      </c>
      <c r="H190" s="290">
        <f t="shared" si="55"/>
        <v>0</v>
      </c>
      <c r="I190" s="290">
        <f t="shared" si="55"/>
        <v>0</v>
      </c>
      <c r="J190" s="290">
        <f t="shared" si="55"/>
        <v>19182147</v>
      </c>
      <c r="K190" s="290">
        <f t="shared" si="55"/>
        <v>19182147</v>
      </c>
      <c r="L190" s="290">
        <f t="shared" si="55"/>
        <v>13452430</v>
      </c>
      <c r="M190" s="290">
        <f t="shared" si="55"/>
        <v>5729717</v>
      </c>
      <c r="N190" s="291">
        <f>L190/C190</f>
        <v>0.49499971335678633</v>
      </c>
    </row>
    <row r="191" spans="1:14" ht="15" hidden="1">
      <c r="A191" s="285" t="s">
        <v>149</v>
      </c>
      <c r="B191" s="305"/>
      <c r="C191" s="286">
        <f>D191+E191+F191+G191</f>
        <v>0</v>
      </c>
      <c r="D191" s="286"/>
      <c r="E191" s="286"/>
      <c r="F191" s="286"/>
      <c r="G191" s="287"/>
      <c r="H191" s="334"/>
      <c r="I191" s="334"/>
      <c r="J191" s="286"/>
      <c r="K191" s="286"/>
      <c r="L191" s="286"/>
      <c r="M191" s="286"/>
      <c r="N191" s="335"/>
    </row>
    <row r="192" spans="1:14" ht="15">
      <c r="A192" s="144" t="s">
        <v>150</v>
      </c>
      <c r="B192" s="145"/>
      <c r="C192" s="146">
        <f>C193+C194</f>
        <v>24376642</v>
      </c>
      <c r="D192" s="146">
        <f>D193+D194</f>
        <v>19764642</v>
      </c>
      <c r="E192" s="146">
        <f aca="true" t="shared" si="56" ref="E192:M192">E193+E194</f>
        <v>0</v>
      </c>
      <c r="F192" s="146">
        <f t="shared" si="56"/>
        <v>0</v>
      </c>
      <c r="G192" s="146">
        <f t="shared" si="56"/>
        <v>0</v>
      </c>
      <c r="H192" s="146">
        <f t="shared" si="56"/>
        <v>0</v>
      </c>
      <c r="I192" s="146">
        <f t="shared" si="56"/>
        <v>0</v>
      </c>
      <c r="J192" s="146">
        <f t="shared" si="56"/>
        <v>16427113</v>
      </c>
      <c r="K192" s="146">
        <f t="shared" si="56"/>
        <v>16427113</v>
      </c>
      <c r="L192" s="146">
        <f t="shared" si="56"/>
        <v>12180127</v>
      </c>
      <c r="M192" s="146">
        <f t="shared" si="56"/>
        <v>4246986</v>
      </c>
      <c r="N192" s="346">
        <f>L192/C192</f>
        <v>0.4996638585413036</v>
      </c>
    </row>
    <row r="193" spans="1:14" ht="15">
      <c r="A193" s="140" t="s">
        <v>78</v>
      </c>
      <c r="B193" s="138" t="s">
        <v>80</v>
      </c>
      <c r="C193" s="116">
        <v>13612000</v>
      </c>
      <c r="D193" s="116">
        <v>11500000</v>
      </c>
      <c r="E193" s="116"/>
      <c r="F193" s="116"/>
      <c r="G193" s="117"/>
      <c r="H193" s="334"/>
      <c r="I193" s="334"/>
      <c r="J193" s="116">
        <v>8093755</v>
      </c>
      <c r="K193" s="116">
        <v>8093755</v>
      </c>
      <c r="L193" s="118">
        <v>6210397</v>
      </c>
      <c r="M193" s="116">
        <f aca="true" t="shared" si="57" ref="M193:M203">J193-L193</f>
        <v>1883358</v>
      </c>
      <c r="N193" s="336">
        <f>L193/C193</f>
        <v>0.45624426976197474</v>
      </c>
    </row>
    <row r="194" spans="1:14" ht="15">
      <c r="A194" s="140" t="s">
        <v>79</v>
      </c>
      <c r="B194" s="138" t="s">
        <v>81</v>
      </c>
      <c r="C194" s="116">
        <v>10764642</v>
      </c>
      <c r="D194" s="116">
        <v>8264642</v>
      </c>
      <c r="E194" s="116"/>
      <c r="F194" s="116"/>
      <c r="G194" s="117"/>
      <c r="H194" s="334"/>
      <c r="I194" s="334"/>
      <c r="J194" s="281">
        <v>8333358</v>
      </c>
      <c r="K194" s="281">
        <v>8333358</v>
      </c>
      <c r="L194" s="236">
        <f>12180127-6210397</f>
        <v>5969730</v>
      </c>
      <c r="M194" s="116">
        <f t="shared" si="57"/>
        <v>2363628</v>
      </c>
      <c r="N194" s="336">
        <f aca="true" t="shared" si="58" ref="N194:N204">L194/C194</f>
        <v>0.554568373012312</v>
      </c>
    </row>
    <row r="195" spans="1:14" ht="15" hidden="1">
      <c r="A195" s="115" t="s">
        <v>0</v>
      </c>
      <c r="B195" s="138"/>
      <c r="C195" s="116"/>
      <c r="D195" s="116"/>
      <c r="E195" s="116"/>
      <c r="F195" s="116"/>
      <c r="G195" s="117"/>
      <c r="H195" s="334"/>
      <c r="I195" s="334"/>
      <c r="J195" s="116"/>
      <c r="K195" s="116"/>
      <c r="L195" s="116"/>
      <c r="M195" s="116">
        <f t="shared" si="57"/>
        <v>0</v>
      </c>
      <c r="N195" s="336" t="e">
        <f t="shared" si="58"/>
        <v>#DIV/0!</v>
      </c>
    </row>
    <row r="196" spans="1:14" ht="15" hidden="1">
      <c r="A196" s="115" t="s">
        <v>1</v>
      </c>
      <c r="B196" s="138"/>
      <c r="C196" s="116"/>
      <c r="D196" s="116"/>
      <c r="E196" s="116"/>
      <c r="F196" s="116"/>
      <c r="G196" s="117"/>
      <c r="H196" s="334"/>
      <c r="I196" s="334"/>
      <c r="J196" s="116"/>
      <c r="K196" s="116"/>
      <c r="L196" s="116"/>
      <c r="M196" s="116">
        <f t="shared" si="57"/>
        <v>0</v>
      </c>
      <c r="N196" s="336" t="e">
        <f t="shared" si="58"/>
        <v>#DIV/0!</v>
      </c>
    </row>
    <row r="197" spans="1:14" ht="15" hidden="1">
      <c r="A197" s="115" t="s">
        <v>148</v>
      </c>
      <c r="B197" s="138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16">
        <f t="shared" si="57"/>
        <v>0</v>
      </c>
      <c r="N197" s="336" t="e">
        <f t="shared" si="58"/>
        <v>#DIV/0!</v>
      </c>
    </row>
    <row r="198" spans="1:14" ht="15" hidden="1">
      <c r="A198" s="115" t="s">
        <v>187</v>
      </c>
      <c r="B198" s="138" t="s">
        <v>81</v>
      </c>
      <c r="C198" s="118"/>
      <c r="D198" s="118"/>
      <c r="E198" s="118"/>
      <c r="F198" s="118"/>
      <c r="G198" s="152"/>
      <c r="H198" s="153"/>
      <c r="I198" s="153"/>
      <c r="J198" s="118"/>
      <c r="K198" s="118"/>
      <c r="L198" s="118"/>
      <c r="M198" s="116">
        <f t="shared" si="57"/>
        <v>0</v>
      </c>
      <c r="N198" s="336" t="e">
        <f t="shared" si="58"/>
        <v>#DIV/0!</v>
      </c>
    </row>
    <row r="199" spans="1:14" ht="15.75" customHeight="1" hidden="1">
      <c r="A199" s="172" t="s">
        <v>82</v>
      </c>
      <c r="B199" s="138" t="s">
        <v>104</v>
      </c>
      <c r="C199" s="116"/>
      <c r="D199" s="116"/>
      <c r="E199" s="116"/>
      <c r="F199" s="116"/>
      <c r="G199" s="117"/>
      <c r="H199" s="334"/>
      <c r="I199" s="334"/>
      <c r="J199" s="116"/>
      <c r="K199" s="116"/>
      <c r="L199" s="116"/>
      <c r="M199" s="116">
        <f t="shared" si="57"/>
        <v>0</v>
      </c>
      <c r="N199" s="336" t="e">
        <f t="shared" si="58"/>
        <v>#DIV/0!</v>
      </c>
    </row>
    <row r="200" spans="1:14" ht="15" hidden="1">
      <c r="A200" s="115" t="s">
        <v>2</v>
      </c>
      <c r="B200" s="138"/>
      <c r="C200" s="116"/>
      <c r="D200" s="116"/>
      <c r="E200" s="116"/>
      <c r="F200" s="116"/>
      <c r="G200" s="117"/>
      <c r="H200" s="334"/>
      <c r="I200" s="334"/>
      <c r="J200" s="116"/>
      <c r="K200" s="116"/>
      <c r="L200" s="116"/>
      <c r="M200" s="116">
        <f t="shared" si="57"/>
        <v>0</v>
      </c>
      <c r="N200" s="336" t="e">
        <f t="shared" si="58"/>
        <v>#DIV/0!</v>
      </c>
    </row>
    <row r="201" spans="1:14" ht="15" hidden="1">
      <c r="A201" s="115" t="s">
        <v>3</v>
      </c>
      <c r="B201" s="138"/>
      <c r="C201" s="116"/>
      <c r="D201" s="116"/>
      <c r="E201" s="116"/>
      <c r="F201" s="116"/>
      <c r="G201" s="117"/>
      <c r="H201" s="334"/>
      <c r="I201" s="334"/>
      <c r="J201" s="116"/>
      <c r="K201" s="116"/>
      <c r="L201" s="116"/>
      <c r="M201" s="116">
        <f t="shared" si="57"/>
        <v>0</v>
      </c>
      <c r="N201" s="336" t="e">
        <f t="shared" si="58"/>
        <v>#DIV/0!</v>
      </c>
    </row>
    <row r="202" spans="1:14" ht="15" hidden="1">
      <c r="A202" s="115" t="s">
        <v>231</v>
      </c>
      <c r="B202" s="138" t="s">
        <v>81</v>
      </c>
      <c r="C202" s="116"/>
      <c r="D202" s="116"/>
      <c r="E202" s="116"/>
      <c r="F202" s="116"/>
      <c r="G202" s="117"/>
      <c r="H202" s="334"/>
      <c r="I202" s="334"/>
      <c r="J202" s="116"/>
      <c r="K202" s="116"/>
      <c r="L202" s="116"/>
      <c r="M202" s="116">
        <f t="shared" si="57"/>
        <v>0</v>
      </c>
      <c r="N202" s="336" t="e">
        <f t="shared" si="58"/>
        <v>#DIV/0!</v>
      </c>
    </row>
    <row r="203" spans="1:14" ht="15" hidden="1">
      <c r="A203" s="115" t="s">
        <v>5</v>
      </c>
      <c r="B203" s="138"/>
      <c r="C203" s="116"/>
      <c r="D203" s="116"/>
      <c r="E203" s="116"/>
      <c r="F203" s="116"/>
      <c r="G203" s="117"/>
      <c r="H203" s="334"/>
      <c r="I203" s="334"/>
      <c r="J203" s="116"/>
      <c r="K203" s="116"/>
      <c r="L203" s="116"/>
      <c r="M203" s="116">
        <f t="shared" si="57"/>
        <v>0</v>
      </c>
      <c r="N203" s="336" t="e">
        <f t="shared" si="58"/>
        <v>#DIV/0!</v>
      </c>
    </row>
    <row r="204" spans="1:14" ht="15">
      <c r="A204" s="140" t="s">
        <v>105</v>
      </c>
      <c r="B204" s="138" t="s">
        <v>87</v>
      </c>
      <c r="C204" s="116">
        <v>2800000</v>
      </c>
      <c r="D204" s="116">
        <v>1800000</v>
      </c>
      <c r="E204" s="116"/>
      <c r="F204" s="116"/>
      <c r="G204" s="117"/>
      <c r="H204" s="334"/>
      <c r="I204" s="334"/>
      <c r="J204" s="116">
        <v>2800000</v>
      </c>
      <c r="K204" s="116">
        <v>2800000</v>
      </c>
      <c r="L204" s="116">
        <v>1317269</v>
      </c>
      <c r="M204" s="116">
        <f>J204-L204</f>
        <v>1482731</v>
      </c>
      <c r="N204" s="336">
        <f t="shared" si="58"/>
        <v>0.4704532142857143</v>
      </c>
    </row>
    <row r="205" spans="1:14" ht="15">
      <c r="A205" s="122" t="s">
        <v>7</v>
      </c>
      <c r="B205" s="119"/>
      <c r="C205" s="116"/>
      <c r="D205" s="116"/>
      <c r="E205" s="116"/>
      <c r="F205" s="116"/>
      <c r="G205" s="117"/>
      <c r="H205" s="334"/>
      <c r="I205" s="334"/>
      <c r="J205" s="123">
        <f>K205</f>
        <v>-44966</v>
      </c>
      <c r="K205" s="123">
        <f>L205</f>
        <v>-44966</v>
      </c>
      <c r="L205" s="123">
        <v>-44966</v>
      </c>
      <c r="M205" s="116"/>
      <c r="N205" s="336"/>
    </row>
    <row r="206" spans="1:14" ht="15">
      <c r="A206" s="124" t="s">
        <v>8</v>
      </c>
      <c r="B206" s="119"/>
      <c r="C206" s="116"/>
      <c r="D206" s="116"/>
      <c r="E206" s="116"/>
      <c r="F206" s="116"/>
      <c r="G206" s="117"/>
      <c r="H206" s="334"/>
      <c r="I206" s="334"/>
      <c r="J206" s="116"/>
      <c r="K206" s="116"/>
      <c r="L206" s="116"/>
      <c r="M206" s="116"/>
      <c r="N206" s="336"/>
    </row>
    <row r="207" spans="1:14" ht="14.25">
      <c r="A207" s="162" t="s">
        <v>83</v>
      </c>
      <c r="B207" s="127" t="s">
        <v>104</v>
      </c>
      <c r="C207" s="128">
        <f>C199</f>
        <v>0</v>
      </c>
      <c r="D207" s="128">
        <f aca="true" t="shared" si="59" ref="D207:L207">D199</f>
        <v>0</v>
      </c>
      <c r="E207" s="128">
        <f t="shared" si="59"/>
        <v>0</v>
      </c>
      <c r="F207" s="128">
        <f t="shared" si="59"/>
        <v>0</v>
      </c>
      <c r="G207" s="128">
        <f t="shared" si="59"/>
        <v>0</v>
      </c>
      <c r="H207" s="128">
        <f t="shared" si="59"/>
        <v>0</v>
      </c>
      <c r="I207" s="128">
        <f t="shared" si="59"/>
        <v>0</v>
      </c>
      <c r="J207" s="128">
        <f t="shared" si="59"/>
        <v>0</v>
      </c>
      <c r="K207" s="128">
        <f t="shared" si="59"/>
        <v>0</v>
      </c>
      <c r="L207" s="128">
        <f t="shared" si="59"/>
        <v>0</v>
      </c>
      <c r="M207" s="128">
        <f>J207-L207</f>
        <v>0</v>
      </c>
      <c r="N207" s="337"/>
    </row>
    <row r="208" spans="1:14" ht="15">
      <c r="A208" s="160" t="s">
        <v>84</v>
      </c>
      <c r="B208" s="127" t="s">
        <v>87</v>
      </c>
      <c r="C208" s="128">
        <f>C204</f>
        <v>2800000</v>
      </c>
      <c r="D208" s="128">
        <f>D204</f>
        <v>1800000</v>
      </c>
      <c r="E208" s="128">
        <f>E204</f>
        <v>0</v>
      </c>
      <c r="F208" s="128">
        <f>F204</f>
        <v>0</v>
      </c>
      <c r="G208" s="141">
        <f>G204</f>
        <v>0</v>
      </c>
      <c r="H208" s="438" t="s">
        <v>110</v>
      </c>
      <c r="I208" s="442"/>
      <c r="J208" s="128">
        <f>J204</f>
        <v>2800000</v>
      </c>
      <c r="K208" s="128">
        <f>K204</f>
        <v>2800000</v>
      </c>
      <c r="L208" s="128">
        <f>L204</f>
        <v>1317269</v>
      </c>
      <c r="M208" s="128">
        <f>J208-L208</f>
        <v>1482731</v>
      </c>
      <c r="N208" s="337">
        <f>L208/C208</f>
        <v>0.4704532142857143</v>
      </c>
    </row>
    <row r="209" spans="1:14" ht="14.25">
      <c r="A209" s="160" t="s">
        <v>85</v>
      </c>
      <c r="B209" s="170" t="s">
        <v>80</v>
      </c>
      <c r="C209" s="128">
        <f>C193</f>
        <v>13612000</v>
      </c>
      <c r="D209" s="128">
        <f aca="true" t="shared" si="60" ref="D209:M209">D193</f>
        <v>11500000</v>
      </c>
      <c r="E209" s="128">
        <f t="shared" si="60"/>
        <v>0</v>
      </c>
      <c r="F209" s="128">
        <f t="shared" si="60"/>
        <v>0</v>
      </c>
      <c r="G209" s="128">
        <f t="shared" si="60"/>
        <v>0</v>
      </c>
      <c r="H209" s="128">
        <f t="shared" si="60"/>
        <v>0</v>
      </c>
      <c r="I209" s="128">
        <f t="shared" si="60"/>
        <v>0</v>
      </c>
      <c r="J209" s="128">
        <f t="shared" si="60"/>
        <v>8093755</v>
      </c>
      <c r="K209" s="128">
        <f t="shared" si="60"/>
        <v>8093755</v>
      </c>
      <c r="L209" s="128">
        <f t="shared" si="60"/>
        <v>6210397</v>
      </c>
      <c r="M209" s="128">
        <f t="shared" si="60"/>
        <v>1883358</v>
      </c>
      <c r="N209" s="337">
        <f>L209/C209</f>
        <v>0.45624426976197474</v>
      </c>
    </row>
    <row r="210" spans="1:14" ht="14.25">
      <c r="A210" s="173" t="s">
        <v>86</v>
      </c>
      <c r="B210" s="170" t="s">
        <v>81</v>
      </c>
      <c r="C210" s="128">
        <f>C198+C194</f>
        <v>10764642</v>
      </c>
      <c r="D210" s="128">
        <f aca="true" t="shared" si="61" ref="D210:L210">D198+D194</f>
        <v>8264642</v>
      </c>
      <c r="E210" s="128">
        <f t="shared" si="61"/>
        <v>0</v>
      </c>
      <c r="F210" s="128">
        <f t="shared" si="61"/>
        <v>0</v>
      </c>
      <c r="G210" s="128">
        <f t="shared" si="61"/>
        <v>0</v>
      </c>
      <c r="H210" s="128">
        <f t="shared" si="61"/>
        <v>0</v>
      </c>
      <c r="I210" s="128">
        <f t="shared" si="61"/>
        <v>0</v>
      </c>
      <c r="J210" s="128">
        <f>J198+J193</f>
        <v>8093755</v>
      </c>
      <c r="K210" s="128">
        <f>K198+K193</f>
        <v>8093755</v>
      </c>
      <c r="L210" s="128">
        <f t="shared" si="61"/>
        <v>5969730</v>
      </c>
      <c r="M210" s="128">
        <f>J210-L210</f>
        <v>2124025</v>
      </c>
      <c r="N210" s="337">
        <f>L210/C210</f>
        <v>0.554568373012312</v>
      </c>
    </row>
    <row r="211" spans="1:14" ht="15" thickBot="1">
      <c r="A211" s="292" t="s">
        <v>7</v>
      </c>
      <c r="B211" s="306"/>
      <c r="C211" s="165"/>
      <c r="D211" s="165">
        <f aca="true" t="shared" si="62" ref="D211:K211">D205</f>
        <v>0</v>
      </c>
      <c r="E211" s="165">
        <f t="shared" si="62"/>
        <v>0</v>
      </c>
      <c r="F211" s="165">
        <f t="shared" si="62"/>
        <v>0</v>
      </c>
      <c r="G211" s="165">
        <f t="shared" si="62"/>
        <v>0</v>
      </c>
      <c r="H211" s="165">
        <f t="shared" si="62"/>
        <v>0</v>
      </c>
      <c r="I211" s="165">
        <f t="shared" si="62"/>
        <v>0</v>
      </c>
      <c r="J211" s="167">
        <f t="shared" si="62"/>
        <v>-44966</v>
      </c>
      <c r="K211" s="167">
        <f t="shared" si="62"/>
        <v>-44966</v>
      </c>
      <c r="L211" s="167">
        <f>L205</f>
        <v>-44966</v>
      </c>
      <c r="M211" s="165"/>
      <c r="N211" s="338"/>
    </row>
    <row r="212" spans="1:14" ht="24.75" customHeight="1" thickBot="1">
      <c r="A212" s="288" t="s">
        <v>88</v>
      </c>
      <c r="B212" s="289" t="s">
        <v>161</v>
      </c>
      <c r="C212" s="290">
        <f>C214+C223</f>
        <v>9045000</v>
      </c>
      <c r="D212" s="290">
        <f aca="true" t="shared" si="63" ref="D212:M212">D214+D223</f>
        <v>8000000</v>
      </c>
      <c r="E212" s="290">
        <f t="shared" si="63"/>
        <v>0</v>
      </c>
      <c r="F212" s="290">
        <f t="shared" si="63"/>
        <v>0</v>
      </c>
      <c r="G212" s="290">
        <f t="shared" si="63"/>
        <v>0</v>
      </c>
      <c r="H212" s="290">
        <f t="shared" si="63"/>
        <v>0</v>
      </c>
      <c r="I212" s="290">
        <f t="shared" si="63"/>
        <v>0</v>
      </c>
      <c r="J212" s="290">
        <f t="shared" si="63"/>
        <v>8874572</v>
      </c>
      <c r="K212" s="290">
        <f t="shared" si="63"/>
        <v>8874572</v>
      </c>
      <c r="L212" s="290">
        <f t="shared" si="63"/>
        <v>4360563</v>
      </c>
      <c r="M212" s="290">
        <f t="shared" si="63"/>
        <v>4514009</v>
      </c>
      <c r="N212" s="291">
        <f>L212/C212</f>
        <v>0.4820965174129353</v>
      </c>
    </row>
    <row r="213" spans="1:14" ht="15" customHeight="1" hidden="1">
      <c r="A213" s="285" t="s">
        <v>149</v>
      </c>
      <c r="B213" s="294"/>
      <c r="C213" s="307">
        <f>D213+E213+F213+G213</f>
        <v>0</v>
      </c>
      <c r="D213" s="308"/>
      <c r="E213" s="308"/>
      <c r="F213" s="308"/>
      <c r="G213" s="309"/>
      <c r="H213" s="334"/>
      <c r="I213" s="334"/>
      <c r="J213" s="308"/>
      <c r="K213" s="308"/>
      <c r="L213" s="308"/>
      <c r="M213" s="308"/>
      <c r="N213" s="335"/>
    </row>
    <row r="214" spans="1:14" ht="15">
      <c r="A214" s="144" t="s">
        <v>150</v>
      </c>
      <c r="B214" s="150" t="s">
        <v>90</v>
      </c>
      <c r="C214" s="146">
        <v>9045000</v>
      </c>
      <c r="D214" s="146">
        <v>8000000</v>
      </c>
      <c r="E214" s="146"/>
      <c r="F214" s="146"/>
      <c r="G214" s="175"/>
      <c r="H214" s="441"/>
      <c r="I214" s="439"/>
      <c r="J214" s="146">
        <v>9045000</v>
      </c>
      <c r="K214" s="146">
        <v>9045000</v>
      </c>
      <c r="L214" s="146">
        <v>4530991</v>
      </c>
      <c r="M214" s="146">
        <f>J214-L214</f>
        <v>4514009</v>
      </c>
      <c r="N214" s="346">
        <f>L214/C214</f>
        <v>0.5009387506909895</v>
      </c>
    </row>
    <row r="215" spans="1:14" ht="15" customHeight="1" hidden="1">
      <c r="A215" s="115" t="s">
        <v>0</v>
      </c>
      <c r="B215" s="119"/>
      <c r="C215" s="118">
        <f aca="true" t="shared" si="64" ref="C215:C222">D215+E215+F215+G215</f>
        <v>0</v>
      </c>
      <c r="D215" s="116"/>
      <c r="E215" s="116"/>
      <c r="F215" s="116"/>
      <c r="G215" s="117"/>
      <c r="H215" s="120" t="s">
        <v>106</v>
      </c>
      <c r="I215" s="125">
        <f>C210+C204+C202</f>
        <v>13564642</v>
      </c>
      <c r="J215" s="116"/>
      <c r="K215" s="116"/>
      <c r="L215" s="116"/>
      <c r="M215" s="116"/>
      <c r="N215" s="336"/>
    </row>
    <row r="216" spans="1:14" ht="15" customHeight="1" hidden="1">
      <c r="A216" s="115" t="s">
        <v>1</v>
      </c>
      <c r="B216" s="119"/>
      <c r="C216" s="118">
        <f t="shared" si="64"/>
        <v>0</v>
      </c>
      <c r="D216" s="116"/>
      <c r="E216" s="116"/>
      <c r="F216" s="116"/>
      <c r="G216" s="117"/>
      <c r="H216" s="120" t="s">
        <v>107</v>
      </c>
      <c r="I216" s="125">
        <f>C216+C215+C214</f>
        <v>9045000</v>
      </c>
      <c r="J216" s="116"/>
      <c r="K216" s="116"/>
      <c r="L216" s="116"/>
      <c r="M216" s="116"/>
      <c r="N216" s="336"/>
    </row>
    <row r="217" spans="1:14" ht="15" customHeight="1" hidden="1">
      <c r="A217" s="115" t="s">
        <v>148</v>
      </c>
      <c r="B217" s="119"/>
      <c r="C217" s="118">
        <f t="shared" si="64"/>
        <v>0</v>
      </c>
      <c r="D217" s="116"/>
      <c r="E217" s="116"/>
      <c r="F217" s="116"/>
      <c r="G217" s="117"/>
      <c r="H217" s="334"/>
      <c r="I217" s="334"/>
      <c r="J217" s="116"/>
      <c r="K217" s="116"/>
      <c r="L217" s="116"/>
      <c r="M217" s="116"/>
      <c r="N217" s="336"/>
    </row>
    <row r="218" spans="1:14" ht="15" customHeight="1" hidden="1">
      <c r="A218" s="115" t="s">
        <v>2</v>
      </c>
      <c r="B218" s="119"/>
      <c r="C218" s="118">
        <f t="shared" si="64"/>
        <v>0</v>
      </c>
      <c r="D218" s="116"/>
      <c r="E218" s="116"/>
      <c r="F218" s="116"/>
      <c r="G218" s="117"/>
      <c r="H218" s="334"/>
      <c r="I218" s="334"/>
      <c r="J218" s="116"/>
      <c r="K218" s="116"/>
      <c r="L218" s="116"/>
      <c r="M218" s="116"/>
      <c r="N218" s="336"/>
    </row>
    <row r="219" spans="1:14" ht="15" customHeight="1" hidden="1">
      <c r="A219" s="115" t="s">
        <v>3</v>
      </c>
      <c r="B219" s="119"/>
      <c r="C219" s="118">
        <f t="shared" si="64"/>
        <v>0</v>
      </c>
      <c r="D219" s="116"/>
      <c r="E219" s="116"/>
      <c r="F219" s="116"/>
      <c r="G219" s="117"/>
      <c r="H219" s="334"/>
      <c r="I219" s="334"/>
      <c r="J219" s="116"/>
      <c r="K219" s="116"/>
      <c r="L219" s="116"/>
      <c r="M219" s="116"/>
      <c r="N219" s="336"/>
    </row>
    <row r="220" spans="1:14" ht="15" customHeight="1" hidden="1">
      <c r="A220" s="115" t="s">
        <v>4</v>
      </c>
      <c r="B220" s="119"/>
      <c r="C220" s="118">
        <f t="shared" si="64"/>
        <v>0</v>
      </c>
      <c r="D220" s="116"/>
      <c r="E220" s="116"/>
      <c r="F220" s="116"/>
      <c r="G220" s="117"/>
      <c r="H220" s="334"/>
      <c r="I220" s="334"/>
      <c r="J220" s="116"/>
      <c r="K220" s="116"/>
      <c r="L220" s="116"/>
      <c r="M220" s="116"/>
      <c r="N220" s="336"/>
    </row>
    <row r="221" spans="1:14" ht="15" hidden="1">
      <c r="A221" s="115" t="s">
        <v>5</v>
      </c>
      <c r="B221" s="119"/>
      <c r="C221" s="118">
        <f t="shared" si="64"/>
        <v>0</v>
      </c>
      <c r="D221" s="116"/>
      <c r="E221" s="116"/>
      <c r="F221" s="116"/>
      <c r="G221" s="117"/>
      <c r="H221" s="334"/>
      <c r="I221" s="334"/>
      <c r="J221" s="116"/>
      <c r="K221" s="116"/>
      <c r="L221" s="116"/>
      <c r="M221" s="116"/>
      <c r="N221" s="336"/>
    </row>
    <row r="222" spans="1:14" ht="15" hidden="1">
      <c r="A222" s="115" t="s">
        <v>6</v>
      </c>
      <c r="B222" s="119"/>
      <c r="C222" s="118">
        <f t="shared" si="64"/>
        <v>0</v>
      </c>
      <c r="D222" s="116"/>
      <c r="E222" s="116"/>
      <c r="F222" s="116"/>
      <c r="G222" s="117"/>
      <c r="H222" s="334"/>
      <c r="I222" s="334"/>
      <c r="J222" s="116"/>
      <c r="K222" s="116"/>
      <c r="L222" s="116"/>
      <c r="M222" s="116"/>
      <c r="N222" s="336"/>
    </row>
    <row r="223" spans="1:14" ht="15">
      <c r="A223" s="122" t="s">
        <v>7</v>
      </c>
      <c r="B223" s="119"/>
      <c r="C223" s="118"/>
      <c r="D223" s="116"/>
      <c r="E223" s="116"/>
      <c r="F223" s="116"/>
      <c r="G223" s="117"/>
      <c r="H223" s="334"/>
      <c r="I223" s="334"/>
      <c r="J223" s="142">
        <f>K223</f>
        <v>-170428</v>
      </c>
      <c r="K223" s="142">
        <f>L223</f>
        <v>-170428</v>
      </c>
      <c r="L223" s="142">
        <v>-170428</v>
      </c>
      <c r="M223" s="116"/>
      <c r="N223" s="336"/>
    </row>
    <row r="224" spans="1:14" ht="15">
      <c r="A224" s="176" t="s">
        <v>8</v>
      </c>
      <c r="B224" s="119"/>
      <c r="C224" s="116"/>
      <c r="D224" s="116"/>
      <c r="E224" s="116"/>
      <c r="F224" s="116"/>
      <c r="G224" s="117"/>
      <c r="H224" s="120" t="s">
        <v>106</v>
      </c>
      <c r="I224" s="125">
        <f>C214</f>
        <v>9045000</v>
      </c>
      <c r="J224" s="116"/>
      <c r="K224" s="116"/>
      <c r="L224" s="116"/>
      <c r="M224" s="116"/>
      <c r="N224" s="336"/>
    </row>
    <row r="225" spans="1:14" ht="14.25">
      <c r="A225" s="163" t="s">
        <v>89</v>
      </c>
      <c r="B225" s="127" t="s">
        <v>90</v>
      </c>
      <c r="C225" s="128">
        <f>C214</f>
        <v>9045000</v>
      </c>
      <c r="D225" s="128">
        <f>D214</f>
        <v>8000000</v>
      </c>
      <c r="E225" s="128">
        <f aca="true" t="shared" si="65" ref="E225:M225">E214</f>
        <v>0</v>
      </c>
      <c r="F225" s="128">
        <f t="shared" si="65"/>
        <v>0</v>
      </c>
      <c r="G225" s="128">
        <f t="shared" si="65"/>
        <v>0</v>
      </c>
      <c r="H225" s="128">
        <f t="shared" si="65"/>
        <v>0</v>
      </c>
      <c r="I225" s="128">
        <f t="shared" si="65"/>
        <v>0</v>
      </c>
      <c r="J225" s="128">
        <f t="shared" si="65"/>
        <v>9045000</v>
      </c>
      <c r="K225" s="128">
        <f t="shared" si="65"/>
        <v>9045000</v>
      </c>
      <c r="L225" s="128">
        <f>L214</f>
        <v>4530991</v>
      </c>
      <c r="M225" s="128">
        <f t="shared" si="65"/>
        <v>4514009</v>
      </c>
      <c r="N225" s="337">
        <f>L225/C225</f>
        <v>0.5009387506909895</v>
      </c>
    </row>
    <row r="226" spans="1:14" ht="15" thickBot="1">
      <c r="A226" s="292" t="s">
        <v>7</v>
      </c>
      <c r="B226" s="177"/>
      <c r="C226" s="165"/>
      <c r="D226" s="165"/>
      <c r="E226" s="165"/>
      <c r="F226" s="165"/>
      <c r="G226" s="165"/>
      <c r="H226" s="165"/>
      <c r="I226" s="165"/>
      <c r="J226" s="431">
        <f>J223</f>
        <v>-170428</v>
      </c>
      <c r="K226" s="431">
        <f>K223</f>
        <v>-170428</v>
      </c>
      <c r="L226" s="431">
        <f>L223</f>
        <v>-170428</v>
      </c>
      <c r="M226" s="165"/>
      <c r="N226" s="338"/>
    </row>
    <row r="227" spans="1:14" ht="24.75" customHeight="1" thickBot="1">
      <c r="A227" s="288" t="s">
        <v>91</v>
      </c>
      <c r="B227" s="289" t="s">
        <v>161</v>
      </c>
      <c r="C227" s="290">
        <f>C229+C238</f>
        <v>1050000</v>
      </c>
      <c r="D227" s="290">
        <f aca="true" t="shared" si="66" ref="D227:M227">D229+D238</f>
        <v>900000</v>
      </c>
      <c r="E227" s="290">
        <f t="shared" si="66"/>
        <v>0</v>
      </c>
      <c r="F227" s="290">
        <f t="shared" si="66"/>
        <v>0</v>
      </c>
      <c r="G227" s="290">
        <f t="shared" si="66"/>
        <v>0</v>
      </c>
      <c r="H227" s="290">
        <f t="shared" si="66"/>
        <v>0</v>
      </c>
      <c r="I227" s="290">
        <f t="shared" si="66"/>
        <v>0</v>
      </c>
      <c r="J227" s="290">
        <f t="shared" si="66"/>
        <v>1040375</v>
      </c>
      <c r="K227" s="290">
        <f t="shared" si="66"/>
        <v>1040375</v>
      </c>
      <c r="L227" s="290">
        <f t="shared" si="66"/>
        <v>893106</v>
      </c>
      <c r="M227" s="290">
        <f t="shared" si="66"/>
        <v>147269</v>
      </c>
      <c r="N227" s="291">
        <f>L227/C227</f>
        <v>0.8505771428571428</v>
      </c>
    </row>
    <row r="228" spans="1:14" ht="15" hidden="1">
      <c r="A228" s="285" t="s">
        <v>149</v>
      </c>
      <c r="B228" s="294"/>
      <c r="C228" s="308">
        <f>D228+E228+F228+G228</f>
        <v>0</v>
      </c>
      <c r="D228" s="308"/>
      <c r="E228" s="308"/>
      <c r="F228" s="308"/>
      <c r="G228" s="309"/>
      <c r="H228" s="334"/>
      <c r="I228" s="334"/>
      <c r="J228" s="308"/>
      <c r="K228" s="308"/>
      <c r="L228" s="308"/>
      <c r="M228" s="308"/>
      <c r="N228" s="335"/>
    </row>
    <row r="229" spans="1:14" ht="15">
      <c r="A229" s="144" t="s">
        <v>150</v>
      </c>
      <c r="B229" s="150" t="s">
        <v>93</v>
      </c>
      <c r="C229" s="146">
        <v>1050000</v>
      </c>
      <c r="D229" s="146">
        <v>900000</v>
      </c>
      <c r="E229" s="146"/>
      <c r="F229" s="146"/>
      <c r="G229" s="175"/>
      <c r="H229" s="439"/>
      <c r="I229" s="440"/>
      <c r="J229" s="146">
        <v>1040375</v>
      </c>
      <c r="K229" s="146">
        <v>1040375</v>
      </c>
      <c r="L229" s="146">
        <v>893106</v>
      </c>
      <c r="M229" s="146">
        <f>J229-L229</f>
        <v>147269</v>
      </c>
      <c r="N229" s="346">
        <f>L229/C229</f>
        <v>0.8505771428571428</v>
      </c>
    </row>
    <row r="230" spans="1:14" ht="15" hidden="1">
      <c r="A230" s="115" t="s">
        <v>0</v>
      </c>
      <c r="B230" s="119"/>
      <c r="C230" s="116">
        <f aca="true" t="shared" si="67" ref="C230:C237">D230+E230+F230+G230</f>
        <v>0</v>
      </c>
      <c r="D230" s="116"/>
      <c r="E230" s="116"/>
      <c r="F230" s="116"/>
      <c r="G230" s="117"/>
      <c r="H230" s="120" t="s">
        <v>106</v>
      </c>
      <c r="I230" s="125">
        <f>C225+C219+C217</f>
        <v>9045000</v>
      </c>
      <c r="J230" s="116"/>
      <c r="K230" s="116"/>
      <c r="L230" s="116"/>
      <c r="M230" s="116"/>
      <c r="N230" s="336"/>
    </row>
    <row r="231" spans="1:14" ht="15" hidden="1">
      <c r="A231" s="115" t="s">
        <v>1</v>
      </c>
      <c r="B231" s="119"/>
      <c r="C231" s="116">
        <f t="shared" si="67"/>
        <v>0</v>
      </c>
      <c r="D231" s="116"/>
      <c r="E231" s="116"/>
      <c r="F231" s="116"/>
      <c r="G231" s="117"/>
      <c r="H231" s="120" t="s">
        <v>107</v>
      </c>
      <c r="I231" s="125">
        <f>C231+C230+C229</f>
        <v>1050000</v>
      </c>
      <c r="J231" s="116"/>
      <c r="K231" s="116"/>
      <c r="L231" s="116"/>
      <c r="M231" s="116"/>
      <c r="N231" s="336"/>
    </row>
    <row r="232" spans="1:14" ht="15" hidden="1">
      <c r="A232" s="115" t="s">
        <v>148</v>
      </c>
      <c r="B232" s="119"/>
      <c r="C232" s="116">
        <f t="shared" si="67"/>
        <v>0</v>
      </c>
      <c r="D232" s="116"/>
      <c r="E232" s="116"/>
      <c r="F232" s="116"/>
      <c r="G232" s="117"/>
      <c r="H232" s="334"/>
      <c r="I232" s="334"/>
      <c r="J232" s="116"/>
      <c r="K232" s="116"/>
      <c r="L232" s="116"/>
      <c r="M232" s="116"/>
      <c r="N232" s="336"/>
    </row>
    <row r="233" spans="1:14" ht="15" hidden="1">
      <c r="A233" s="115" t="s">
        <v>2</v>
      </c>
      <c r="B233" s="119"/>
      <c r="C233" s="116">
        <f t="shared" si="67"/>
        <v>0</v>
      </c>
      <c r="D233" s="116"/>
      <c r="E233" s="116"/>
      <c r="F233" s="116"/>
      <c r="G233" s="117"/>
      <c r="H233" s="334"/>
      <c r="I233" s="334"/>
      <c r="J233" s="116"/>
      <c r="K233" s="116"/>
      <c r="L233" s="116"/>
      <c r="M233" s="116"/>
      <c r="N233" s="336"/>
    </row>
    <row r="234" spans="1:14" ht="15" hidden="1">
      <c r="A234" s="115" t="s">
        <v>3</v>
      </c>
      <c r="B234" s="119"/>
      <c r="C234" s="116">
        <f t="shared" si="67"/>
        <v>0</v>
      </c>
      <c r="D234" s="116"/>
      <c r="E234" s="116"/>
      <c r="F234" s="116"/>
      <c r="G234" s="117"/>
      <c r="H234" s="334"/>
      <c r="I234" s="334"/>
      <c r="J234" s="116"/>
      <c r="K234" s="116"/>
      <c r="L234" s="116"/>
      <c r="M234" s="116"/>
      <c r="N234" s="336"/>
    </row>
    <row r="235" spans="1:14" ht="15" hidden="1">
      <c r="A235" s="115" t="s">
        <v>4</v>
      </c>
      <c r="B235" s="119"/>
      <c r="C235" s="116">
        <f t="shared" si="67"/>
        <v>0</v>
      </c>
      <c r="D235" s="116"/>
      <c r="E235" s="116"/>
      <c r="F235" s="116"/>
      <c r="G235" s="117"/>
      <c r="H235" s="334"/>
      <c r="I235" s="334"/>
      <c r="J235" s="116"/>
      <c r="K235" s="116"/>
      <c r="L235" s="116"/>
      <c r="M235" s="116"/>
      <c r="N235" s="336"/>
    </row>
    <row r="236" spans="1:14" ht="15" hidden="1">
      <c r="A236" s="115" t="s">
        <v>5</v>
      </c>
      <c r="B236" s="119"/>
      <c r="C236" s="116">
        <f t="shared" si="67"/>
        <v>0</v>
      </c>
      <c r="D236" s="116"/>
      <c r="E236" s="116"/>
      <c r="F236" s="116"/>
      <c r="G236" s="117"/>
      <c r="H236" s="334"/>
      <c r="I236" s="334"/>
      <c r="J236" s="116"/>
      <c r="K236" s="116"/>
      <c r="L236" s="116"/>
      <c r="M236" s="116"/>
      <c r="N236" s="336"/>
    </row>
    <row r="237" spans="1:14" ht="15" hidden="1">
      <c r="A237" s="115" t="s">
        <v>6</v>
      </c>
      <c r="B237" s="119"/>
      <c r="C237" s="116">
        <f t="shared" si="67"/>
        <v>0</v>
      </c>
      <c r="D237" s="116"/>
      <c r="E237" s="116"/>
      <c r="F237" s="116"/>
      <c r="G237" s="117"/>
      <c r="H237" s="334"/>
      <c r="I237" s="334"/>
      <c r="J237" s="116"/>
      <c r="K237" s="116"/>
      <c r="L237" s="116"/>
      <c r="M237" s="116"/>
      <c r="N237" s="336"/>
    </row>
    <row r="238" spans="1:14" ht="15">
      <c r="A238" s="122" t="s">
        <v>7</v>
      </c>
      <c r="B238" s="119"/>
      <c r="C238" s="116"/>
      <c r="D238" s="116"/>
      <c r="E238" s="116"/>
      <c r="F238" s="116"/>
      <c r="G238" s="117"/>
      <c r="H238" s="334"/>
      <c r="I238" s="334"/>
      <c r="J238" s="116"/>
      <c r="K238" s="116"/>
      <c r="L238" s="116"/>
      <c r="M238" s="116"/>
      <c r="N238" s="336"/>
    </row>
    <row r="239" spans="1:14" ht="15">
      <c r="A239" s="115" t="s">
        <v>8</v>
      </c>
      <c r="B239" s="119"/>
      <c r="C239" s="116"/>
      <c r="D239" s="116"/>
      <c r="E239" s="116"/>
      <c r="F239" s="116"/>
      <c r="G239" s="117"/>
      <c r="H239" s="120" t="s">
        <v>106</v>
      </c>
      <c r="I239" s="125">
        <f>C229</f>
        <v>1050000</v>
      </c>
      <c r="J239" s="116"/>
      <c r="K239" s="116"/>
      <c r="L239" s="116"/>
      <c r="M239" s="116"/>
      <c r="N239" s="336"/>
    </row>
    <row r="240" spans="1:14" ht="14.25">
      <c r="A240" s="163" t="s">
        <v>92</v>
      </c>
      <c r="B240" s="127" t="s">
        <v>93</v>
      </c>
      <c r="C240" s="128">
        <f>C229</f>
        <v>1050000</v>
      </c>
      <c r="D240" s="128">
        <f>D229</f>
        <v>900000</v>
      </c>
      <c r="E240" s="128">
        <f aca="true" t="shared" si="68" ref="E240:K240">E229</f>
        <v>0</v>
      </c>
      <c r="F240" s="128">
        <f t="shared" si="68"/>
        <v>0</v>
      </c>
      <c r="G240" s="128">
        <f t="shared" si="68"/>
        <v>0</v>
      </c>
      <c r="H240" s="128">
        <f t="shared" si="68"/>
        <v>0</v>
      </c>
      <c r="I240" s="128">
        <f t="shared" si="68"/>
        <v>0</v>
      </c>
      <c r="J240" s="128">
        <f t="shared" si="68"/>
        <v>1040375</v>
      </c>
      <c r="K240" s="128">
        <f t="shared" si="68"/>
        <v>1040375</v>
      </c>
      <c r="L240" s="128">
        <f>L229</f>
        <v>893106</v>
      </c>
      <c r="M240" s="128">
        <f>M238+M237+M236+M235+M234+M233+M232+M231+M230+M229+M228</f>
        <v>147269</v>
      </c>
      <c r="N240" s="337">
        <f>L240/C240</f>
        <v>0.8505771428571428</v>
      </c>
    </row>
    <row r="241" spans="1:14" ht="15" thickBot="1">
      <c r="A241" s="292" t="s">
        <v>7</v>
      </c>
      <c r="B241" s="177"/>
      <c r="C241" s="165"/>
      <c r="D241" s="165"/>
      <c r="E241" s="165"/>
      <c r="F241" s="165"/>
      <c r="G241" s="165"/>
      <c r="H241" s="165"/>
      <c r="I241" s="165"/>
      <c r="J241" s="165">
        <f>J238</f>
        <v>0</v>
      </c>
      <c r="K241" s="165">
        <f>K238</f>
        <v>0</v>
      </c>
      <c r="L241" s="165">
        <f>L238</f>
        <v>0</v>
      </c>
      <c r="M241" s="165"/>
      <c r="N241" s="338"/>
    </row>
    <row r="242" spans="1:14" ht="24.75" customHeight="1" thickBot="1">
      <c r="A242" s="288" t="s">
        <v>94</v>
      </c>
      <c r="B242" s="289" t="s">
        <v>161</v>
      </c>
      <c r="C242" s="290">
        <f>C244+C246+C252+C253</f>
        <v>57535000</v>
      </c>
      <c r="D242" s="290">
        <f aca="true" t="shared" si="69" ref="D242:M242">D244+D246+D252+D253</f>
        <v>43855000</v>
      </c>
      <c r="E242" s="290">
        <f t="shared" si="69"/>
        <v>0</v>
      </c>
      <c r="F242" s="290">
        <f t="shared" si="69"/>
        <v>0</v>
      </c>
      <c r="G242" s="290">
        <f t="shared" si="69"/>
        <v>0</v>
      </c>
      <c r="H242" s="290">
        <f t="shared" si="69"/>
        <v>0</v>
      </c>
      <c r="I242" s="290">
        <f t="shared" si="69"/>
        <v>0</v>
      </c>
      <c r="J242" s="290">
        <f t="shared" si="69"/>
        <v>49416023</v>
      </c>
      <c r="K242" s="290">
        <f t="shared" si="69"/>
        <v>49416023</v>
      </c>
      <c r="L242" s="290">
        <f t="shared" si="69"/>
        <v>40951649</v>
      </c>
      <c r="M242" s="290">
        <f t="shared" si="69"/>
        <v>8464374</v>
      </c>
      <c r="N242" s="291">
        <f>L242/C242</f>
        <v>0.7117693404014948</v>
      </c>
    </row>
    <row r="243" spans="1:14" ht="15" hidden="1">
      <c r="A243" s="285" t="s">
        <v>149</v>
      </c>
      <c r="B243" s="294"/>
      <c r="C243" s="308">
        <f>D243+E243+F243+G243</f>
        <v>0</v>
      </c>
      <c r="D243" s="308"/>
      <c r="E243" s="308"/>
      <c r="F243" s="308"/>
      <c r="G243" s="309"/>
      <c r="H243" s="334"/>
      <c r="I243" s="334"/>
      <c r="J243" s="308"/>
      <c r="K243" s="308"/>
      <c r="L243" s="308"/>
      <c r="M243" s="308"/>
      <c r="N243" s="335"/>
    </row>
    <row r="244" spans="1:14" ht="15">
      <c r="A244" s="144" t="s">
        <v>150</v>
      </c>
      <c r="B244" s="150" t="s">
        <v>99</v>
      </c>
      <c r="C244" s="146">
        <v>32900000</v>
      </c>
      <c r="D244" s="146">
        <v>24900000</v>
      </c>
      <c r="E244" s="146"/>
      <c r="F244" s="146"/>
      <c r="G244" s="175"/>
      <c r="H244" s="347"/>
      <c r="I244" s="347"/>
      <c r="J244" s="146">
        <v>24781023</v>
      </c>
      <c r="K244" s="146">
        <v>24781023</v>
      </c>
      <c r="L244" s="146">
        <v>22062392</v>
      </c>
      <c r="M244" s="146">
        <f>J244-L244</f>
        <v>2718631</v>
      </c>
      <c r="N244" s="346">
        <f>L244/C244</f>
        <v>0.6705894224924012</v>
      </c>
    </row>
    <row r="245" spans="1:14" ht="15" hidden="1">
      <c r="A245" s="144" t="s">
        <v>0</v>
      </c>
      <c r="B245" s="150"/>
      <c r="C245" s="146"/>
      <c r="D245" s="146"/>
      <c r="E245" s="146"/>
      <c r="F245" s="146"/>
      <c r="G245" s="175"/>
      <c r="H245" s="347"/>
      <c r="I245" s="347"/>
      <c r="J245" s="146"/>
      <c r="K245" s="146"/>
      <c r="L245" s="146"/>
      <c r="M245" s="146">
        <f aca="true" t="shared" si="70" ref="M245:M252">J245-L245</f>
        <v>0</v>
      </c>
      <c r="N245" s="346" t="e">
        <f aca="true" t="shared" si="71" ref="N245:N252">L245/C245</f>
        <v>#DIV/0!</v>
      </c>
    </row>
    <row r="246" spans="1:14" ht="15">
      <c r="A246" s="144" t="s">
        <v>1</v>
      </c>
      <c r="B246" s="150" t="s">
        <v>98</v>
      </c>
      <c r="C246" s="146">
        <v>20825000</v>
      </c>
      <c r="D246" s="146">
        <v>16075000</v>
      </c>
      <c r="E246" s="146"/>
      <c r="F246" s="146"/>
      <c r="G246" s="175"/>
      <c r="H246" s="347"/>
      <c r="I246" s="347"/>
      <c r="J246" s="146">
        <v>20825000</v>
      </c>
      <c r="K246" s="146">
        <v>20825000</v>
      </c>
      <c r="L246" s="146">
        <v>16036723</v>
      </c>
      <c r="M246" s="146">
        <f t="shared" si="70"/>
        <v>4788277</v>
      </c>
      <c r="N246" s="346">
        <f t="shared" si="71"/>
        <v>0.7700707322929171</v>
      </c>
    </row>
    <row r="247" spans="1:14" ht="15" hidden="1">
      <c r="A247" s="144" t="s">
        <v>148</v>
      </c>
      <c r="B247" s="150"/>
      <c r="C247" s="146"/>
      <c r="D247" s="146"/>
      <c r="E247" s="146"/>
      <c r="F247" s="146"/>
      <c r="G247" s="175"/>
      <c r="H247" s="347"/>
      <c r="I247" s="347"/>
      <c r="J247" s="146"/>
      <c r="K247" s="146"/>
      <c r="L247" s="146"/>
      <c r="M247" s="146">
        <f t="shared" si="70"/>
        <v>0</v>
      </c>
      <c r="N247" s="346" t="e">
        <f t="shared" si="71"/>
        <v>#DIV/0!</v>
      </c>
    </row>
    <row r="248" spans="1:14" ht="15" hidden="1">
      <c r="A248" s="144" t="s">
        <v>2</v>
      </c>
      <c r="B248" s="150"/>
      <c r="C248" s="146"/>
      <c r="D248" s="146"/>
      <c r="E248" s="146"/>
      <c r="F248" s="146"/>
      <c r="G248" s="175"/>
      <c r="H248" s="347"/>
      <c r="I248" s="347"/>
      <c r="J248" s="146"/>
      <c r="K248" s="146"/>
      <c r="L248" s="146"/>
      <c r="M248" s="146">
        <f t="shared" si="70"/>
        <v>0</v>
      </c>
      <c r="N248" s="346" t="e">
        <f t="shared" si="71"/>
        <v>#DIV/0!</v>
      </c>
    </row>
    <row r="249" spans="1:14" ht="15" hidden="1">
      <c r="A249" s="144" t="s">
        <v>3</v>
      </c>
      <c r="B249" s="150"/>
      <c r="C249" s="146"/>
      <c r="D249" s="146"/>
      <c r="E249" s="146"/>
      <c r="F249" s="146"/>
      <c r="G249" s="175"/>
      <c r="H249" s="347"/>
      <c r="I249" s="347"/>
      <c r="J249" s="146"/>
      <c r="K249" s="146"/>
      <c r="L249" s="146"/>
      <c r="M249" s="146">
        <f t="shared" si="70"/>
        <v>0</v>
      </c>
      <c r="N249" s="346" t="e">
        <f t="shared" si="71"/>
        <v>#DIV/0!</v>
      </c>
    </row>
    <row r="250" spans="1:14" ht="15" hidden="1">
      <c r="A250" s="144" t="s">
        <v>4</v>
      </c>
      <c r="B250" s="150"/>
      <c r="C250" s="146"/>
      <c r="D250" s="146"/>
      <c r="E250" s="146"/>
      <c r="F250" s="146"/>
      <c r="G250" s="175"/>
      <c r="H250" s="347"/>
      <c r="I250" s="347"/>
      <c r="J250" s="146"/>
      <c r="K250" s="146"/>
      <c r="L250" s="146"/>
      <c r="M250" s="146">
        <f t="shared" si="70"/>
        <v>0</v>
      </c>
      <c r="N250" s="346" t="e">
        <f t="shared" si="71"/>
        <v>#DIV/0!</v>
      </c>
    </row>
    <row r="251" spans="1:14" ht="15" hidden="1">
      <c r="A251" s="144" t="s">
        <v>5</v>
      </c>
      <c r="B251" s="150"/>
      <c r="C251" s="146"/>
      <c r="D251" s="146"/>
      <c r="E251" s="146"/>
      <c r="F251" s="146"/>
      <c r="G251" s="175"/>
      <c r="H251" s="347"/>
      <c r="I251" s="347"/>
      <c r="J251" s="146"/>
      <c r="K251" s="146"/>
      <c r="L251" s="146"/>
      <c r="M251" s="146">
        <f t="shared" si="70"/>
        <v>0</v>
      </c>
      <c r="N251" s="346" t="e">
        <f t="shared" si="71"/>
        <v>#DIV/0!</v>
      </c>
    </row>
    <row r="252" spans="1:14" ht="15">
      <c r="A252" s="144" t="s">
        <v>6</v>
      </c>
      <c r="B252" s="150" t="s">
        <v>99</v>
      </c>
      <c r="C252" s="146">
        <v>3810000</v>
      </c>
      <c r="D252" s="146">
        <v>2880000</v>
      </c>
      <c r="E252" s="146"/>
      <c r="F252" s="146"/>
      <c r="G252" s="175"/>
      <c r="H252" s="347"/>
      <c r="I252" s="347"/>
      <c r="J252" s="146">
        <v>3810000</v>
      </c>
      <c r="K252" s="146">
        <v>3810000</v>
      </c>
      <c r="L252" s="146">
        <v>2852534</v>
      </c>
      <c r="M252" s="146">
        <f t="shared" si="70"/>
        <v>957466</v>
      </c>
      <c r="N252" s="346">
        <f t="shared" si="71"/>
        <v>0.7486965879265092</v>
      </c>
    </row>
    <row r="253" spans="1:17" ht="15">
      <c r="A253" s="122" t="s">
        <v>7</v>
      </c>
      <c r="B253" s="119"/>
      <c r="C253" s="116"/>
      <c r="D253" s="116"/>
      <c r="E253" s="116"/>
      <c r="F253" s="116"/>
      <c r="G253" s="117"/>
      <c r="H253" s="334"/>
      <c r="I253" s="334"/>
      <c r="J253" s="123">
        <f>L253</f>
        <v>0</v>
      </c>
      <c r="K253" s="123">
        <f>L253</f>
        <v>0</v>
      </c>
      <c r="L253" s="123"/>
      <c r="M253" s="116"/>
      <c r="N253" s="336"/>
      <c r="Q253" s="189"/>
    </row>
    <row r="254" spans="1:14" ht="15">
      <c r="A254" s="124" t="s">
        <v>8</v>
      </c>
      <c r="B254" s="119"/>
      <c r="C254" s="116"/>
      <c r="D254" s="116"/>
      <c r="E254" s="116"/>
      <c r="F254" s="116"/>
      <c r="G254" s="117"/>
      <c r="H254" s="334"/>
      <c r="I254" s="334"/>
      <c r="J254" s="116"/>
      <c r="K254" s="116"/>
      <c r="L254" s="116"/>
      <c r="M254" s="116"/>
      <c r="N254" s="336"/>
    </row>
    <row r="255" spans="1:14" ht="15">
      <c r="A255" s="160" t="s">
        <v>95</v>
      </c>
      <c r="B255" s="127" t="s">
        <v>98</v>
      </c>
      <c r="C255" s="128">
        <f>C246</f>
        <v>20825000</v>
      </c>
      <c r="D255" s="128">
        <f>D246</f>
        <v>16075000</v>
      </c>
      <c r="E255" s="128">
        <f>E246</f>
        <v>0</v>
      </c>
      <c r="F255" s="128">
        <f>F246</f>
        <v>0</v>
      </c>
      <c r="G255" s="141">
        <f>G246</f>
        <v>0</v>
      </c>
      <c r="H255" s="438" t="s">
        <v>109</v>
      </c>
      <c r="I255" s="442"/>
      <c r="J255" s="128">
        <f>J246</f>
        <v>20825000</v>
      </c>
      <c r="K255" s="128">
        <f>K246</f>
        <v>20825000</v>
      </c>
      <c r="L255" s="128">
        <f>L246</f>
        <v>16036723</v>
      </c>
      <c r="M255" s="128">
        <f>M246</f>
        <v>4788277</v>
      </c>
      <c r="N255" s="337">
        <f>L255/C255</f>
        <v>0.7700707322929171</v>
      </c>
    </row>
    <row r="256" spans="1:14" ht="14.25">
      <c r="A256" s="160" t="s">
        <v>96</v>
      </c>
      <c r="B256" s="127" t="s">
        <v>99</v>
      </c>
      <c r="C256" s="128">
        <f>C244+C252</f>
        <v>36710000</v>
      </c>
      <c r="D256" s="128">
        <f>D244+D252</f>
        <v>27780000</v>
      </c>
      <c r="E256" s="128">
        <f aca="true" t="shared" si="72" ref="E256:M256">E244+E252</f>
        <v>0</v>
      </c>
      <c r="F256" s="128">
        <f t="shared" si="72"/>
        <v>0</v>
      </c>
      <c r="G256" s="128">
        <f t="shared" si="72"/>
        <v>0</v>
      </c>
      <c r="H256" s="128">
        <f t="shared" si="72"/>
        <v>0</v>
      </c>
      <c r="I256" s="128">
        <f t="shared" si="72"/>
        <v>0</v>
      </c>
      <c r="J256" s="128">
        <f t="shared" si="72"/>
        <v>28591023</v>
      </c>
      <c r="K256" s="128">
        <f t="shared" si="72"/>
        <v>28591023</v>
      </c>
      <c r="L256" s="128">
        <f t="shared" si="72"/>
        <v>24914926</v>
      </c>
      <c r="M256" s="128">
        <f t="shared" si="72"/>
        <v>3676097</v>
      </c>
      <c r="N256" s="337">
        <f>L256/C256</f>
        <v>0.678695886679379</v>
      </c>
    </row>
    <row r="257" spans="1:14" ht="15.75" thickBot="1">
      <c r="A257" s="163" t="s">
        <v>97</v>
      </c>
      <c r="B257" s="177" t="s">
        <v>100</v>
      </c>
      <c r="C257" s="165">
        <f>D257+E257+F257+G257</f>
        <v>0</v>
      </c>
      <c r="D257" s="165"/>
      <c r="E257" s="165"/>
      <c r="F257" s="165"/>
      <c r="G257" s="178"/>
      <c r="H257" s="179" t="s">
        <v>107</v>
      </c>
      <c r="I257" s="180">
        <f>C257+C256+C255</f>
        <v>57535000</v>
      </c>
      <c r="J257" s="165"/>
      <c r="K257" s="165"/>
      <c r="L257" s="165"/>
      <c r="M257" s="165"/>
      <c r="N257" s="338"/>
    </row>
    <row r="258" spans="1:16" ht="15.75" thickBot="1">
      <c r="A258" s="181" t="s">
        <v>7</v>
      </c>
      <c r="B258" s="182"/>
      <c r="C258" s="183"/>
      <c r="D258" s="183"/>
      <c r="E258" s="183"/>
      <c r="F258" s="183"/>
      <c r="G258" s="184"/>
      <c r="H258" s="185"/>
      <c r="I258" s="186"/>
      <c r="J258" s="187">
        <f>J253</f>
        <v>0</v>
      </c>
      <c r="K258" s="187">
        <f>K253</f>
        <v>0</v>
      </c>
      <c r="L258" s="187">
        <f>L253</f>
        <v>0</v>
      </c>
      <c r="M258" s="188"/>
      <c r="N258" s="238"/>
      <c r="P258" s="189"/>
    </row>
    <row r="259" spans="1:13" ht="24.75" customHeight="1" hidden="1">
      <c r="A259" s="113" t="s">
        <v>101</v>
      </c>
      <c r="B259" s="114" t="s">
        <v>161</v>
      </c>
      <c r="C259" s="190">
        <f>C267+C270</f>
        <v>0</v>
      </c>
      <c r="D259" s="190">
        <f aca="true" t="shared" si="73" ref="D259:M259">D267+D270</f>
        <v>0</v>
      </c>
      <c r="E259" s="190">
        <f t="shared" si="73"/>
        <v>6300</v>
      </c>
      <c r="F259" s="190">
        <f t="shared" si="73"/>
        <v>6300</v>
      </c>
      <c r="G259" s="190">
        <f t="shared" si="73"/>
        <v>20600</v>
      </c>
      <c r="H259" s="190" t="e">
        <f t="shared" si="73"/>
        <v>#VALUE!</v>
      </c>
      <c r="I259" s="190">
        <f t="shared" si="73"/>
        <v>0</v>
      </c>
      <c r="J259" s="190">
        <f t="shared" si="73"/>
        <v>0</v>
      </c>
      <c r="K259" s="190">
        <f t="shared" si="73"/>
        <v>0</v>
      </c>
      <c r="L259" s="190">
        <f t="shared" si="73"/>
        <v>0</v>
      </c>
      <c r="M259" s="190">
        <f t="shared" si="73"/>
        <v>0</v>
      </c>
    </row>
    <row r="260" spans="1:13" ht="15" customHeight="1" hidden="1">
      <c r="A260" s="115" t="s">
        <v>149</v>
      </c>
      <c r="B260" s="133"/>
      <c r="C260" s="174">
        <f>D260+E260+F260+G260</f>
        <v>0</v>
      </c>
      <c r="D260" s="191"/>
      <c r="E260" s="191"/>
      <c r="F260" s="191"/>
      <c r="G260" s="192"/>
      <c r="H260" s="193" t="s">
        <v>106</v>
      </c>
      <c r="I260" s="194">
        <f>C255</f>
        <v>20825000</v>
      </c>
      <c r="J260" s="191"/>
      <c r="K260" s="191"/>
      <c r="L260" s="191"/>
      <c r="M260" s="191"/>
    </row>
    <row r="261" spans="1:13" ht="15" customHeight="1" hidden="1">
      <c r="A261" s="115" t="s">
        <v>150</v>
      </c>
      <c r="B261" s="133"/>
      <c r="C261" s="174">
        <f aca="true" t="shared" si="74" ref="C261:C269">D261+E261+F261+G261</f>
        <v>0</v>
      </c>
      <c r="D261" s="191"/>
      <c r="E261" s="191"/>
      <c r="F261" s="191"/>
      <c r="G261" s="192"/>
      <c r="H261" s="193" t="s">
        <v>107</v>
      </c>
      <c r="I261" s="194">
        <f>C261</f>
        <v>0</v>
      </c>
      <c r="J261" s="191"/>
      <c r="K261" s="191"/>
      <c r="L261" s="191"/>
      <c r="M261" s="191"/>
    </row>
    <row r="262" spans="1:13" ht="15" hidden="1">
      <c r="A262" s="115" t="s">
        <v>0</v>
      </c>
      <c r="B262" s="133"/>
      <c r="C262" s="174">
        <f t="shared" si="74"/>
        <v>0</v>
      </c>
      <c r="D262" s="191"/>
      <c r="E262" s="191"/>
      <c r="F262" s="191"/>
      <c r="G262" s="192"/>
      <c r="J262" s="191"/>
      <c r="K262" s="191"/>
      <c r="L262" s="191"/>
      <c r="M262" s="191"/>
    </row>
    <row r="263" spans="1:13" ht="15" hidden="1">
      <c r="A263" s="115" t="s">
        <v>1</v>
      </c>
      <c r="B263" s="133"/>
      <c r="C263" s="174">
        <f t="shared" si="74"/>
        <v>0</v>
      </c>
      <c r="D263" s="191"/>
      <c r="E263" s="191"/>
      <c r="F263" s="191"/>
      <c r="G263" s="192"/>
      <c r="J263" s="191"/>
      <c r="K263" s="191"/>
      <c r="L263" s="191"/>
      <c r="M263" s="191"/>
    </row>
    <row r="264" spans="1:13" ht="15" hidden="1">
      <c r="A264" s="115" t="s">
        <v>148</v>
      </c>
      <c r="B264" s="133"/>
      <c r="C264" s="174">
        <f t="shared" si="74"/>
        <v>0</v>
      </c>
      <c r="D264" s="191"/>
      <c r="E264" s="191"/>
      <c r="F264" s="191"/>
      <c r="G264" s="192"/>
      <c r="J264" s="191"/>
      <c r="K264" s="191"/>
      <c r="L264" s="191"/>
      <c r="M264" s="191"/>
    </row>
    <row r="265" spans="1:13" ht="15" hidden="1">
      <c r="A265" s="115" t="s">
        <v>2</v>
      </c>
      <c r="B265" s="133"/>
      <c r="C265" s="174">
        <f t="shared" si="74"/>
        <v>0</v>
      </c>
      <c r="D265" s="191"/>
      <c r="E265" s="191"/>
      <c r="F265" s="191"/>
      <c r="G265" s="192"/>
      <c r="J265" s="191"/>
      <c r="K265" s="191"/>
      <c r="L265" s="191"/>
      <c r="M265" s="191"/>
    </row>
    <row r="266" spans="1:13" ht="15" hidden="1">
      <c r="A266" s="115" t="s">
        <v>3</v>
      </c>
      <c r="B266" s="133"/>
      <c r="C266" s="174">
        <f t="shared" si="74"/>
        <v>0</v>
      </c>
      <c r="D266" s="191"/>
      <c r="E266" s="191"/>
      <c r="F266" s="191"/>
      <c r="G266" s="192"/>
      <c r="J266" s="191"/>
      <c r="K266" s="191"/>
      <c r="L266" s="191"/>
      <c r="M266" s="191"/>
    </row>
    <row r="267" spans="1:13" ht="15" hidden="1">
      <c r="A267" s="115" t="s">
        <v>4</v>
      </c>
      <c r="B267" s="119"/>
      <c r="C267" s="116"/>
      <c r="D267" s="195"/>
      <c r="E267" s="195">
        <v>6300</v>
      </c>
      <c r="F267" s="195">
        <v>6300</v>
      </c>
      <c r="G267" s="196">
        <v>20600</v>
      </c>
      <c r="H267" s="460" t="s">
        <v>108</v>
      </c>
      <c r="I267" s="461"/>
      <c r="J267" s="195"/>
      <c r="K267" s="195"/>
      <c r="L267" s="195"/>
      <c r="M267" s="195">
        <f>J267-L267</f>
        <v>0</v>
      </c>
    </row>
    <row r="268" spans="1:13" ht="15" hidden="1">
      <c r="A268" s="115" t="s">
        <v>5</v>
      </c>
      <c r="B268" s="119"/>
      <c r="C268" s="116">
        <f t="shared" si="74"/>
        <v>0</v>
      </c>
      <c r="D268" s="195"/>
      <c r="E268" s="195"/>
      <c r="F268" s="195"/>
      <c r="G268" s="196"/>
      <c r="H268" s="197"/>
      <c r="I268" s="198"/>
      <c r="J268" s="195"/>
      <c r="K268" s="195"/>
      <c r="L268" s="195"/>
      <c r="M268" s="195"/>
    </row>
    <row r="269" spans="1:13" ht="15" hidden="1">
      <c r="A269" s="115" t="s">
        <v>6</v>
      </c>
      <c r="B269" s="119"/>
      <c r="C269" s="116">
        <f t="shared" si="74"/>
        <v>0</v>
      </c>
      <c r="D269" s="195"/>
      <c r="E269" s="195"/>
      <c r="F269" s="195"/>
      <c r="G269" s="196"/>
      <c r="H269" s="197"/>
      <c r="I269" s="198"/>
      <c r="J269" s="195"/>
      <c r="K269" s="195"/>
      <c r="L269" s="195"/>
      <c r="M269" s="195"/>
    </row>
    <row r="270" spans="1:13" ht="15" hidden="1">
      <c r="A270" s="122" t="s">
        <v>7</v>
      </c>
      <c r="B270" s="119"/>
      <c r="C270" s="116"/>
      <c r="D270" s="195"/>
      <c r="E270" s="195"/>
      <c r="F270" s="195"/>
      <c r="G270" s="196"/>
      <c r="H270" s="197"/>
      <c r="I270" s="198"/>
      <c r="J270" s="195"/>
      <c r="K270" s="195"/>
      <c r="L270" s="195"/>
      <c r="M270" s="195"/>
    </row>
    <row r="271" spans="1:13" ht="12.75" hidden="1">
      <c r="A271" s="124" t="s">
        <v>8</v>
      </c>
      <c r="B271" s="119"/>
      <c r="C271" s="195"/>
      <c r="D271" s="195"/>
      <c r="E271" s="195"/>
      <c r="F271" s="195"/>
      <c r="G271" s="196"/>
      <c r="H271" s="197" t="s">
        <v>106</v>
      </c>
      <c r="I271" s="199">
        <f>C267</f>
        <v>0</v>
      </c>
      <c r="J271" s="195"/>
      <c r="K271" s="195"/>
      <c r="L271" s="195"/>
      <c r="M271" s="195"/>
    </row>
    <row r="272" spans="1:13" ht="15" hidden="1" thickBot="1">
      <c r="A272" s="200" t="s">
        <v>102</v>
      </c>
      <c r="B272" s="127" t="s">
        <v>103</v>
      </c>
      <c r="C272" s="128"/>
      <c r="D272" s="201">
        <f>D267</f>
        <v>0</v>
      </c>
      <c r="E272" s="201">
        <f aca="true" t="shared" si="75" ref="E272:M272">E267</f>
        <v>6300</v>
      </c>
      <c r="F272" s="201">
        <f t="shared" si="75"/>
        <v>6300</v>
      </c>
      <c r="G272" s="201">
        <f t="shared" si="75"/>
        <v>20600</v>
      </c>
      <c r="H272" s="201" t="str">
        <f t="shared" si="75"/>
        <v>TOTAL 87</v>
      </c>
      <c r="I272" s="201">
        <f t="shared" si="75"/>
        <v>0</v>
      </c>
      <c r="J272" s="201">
        <f t="shared" si="75"/>
        <v>0</v>
      </c>
      <c r="K272" s="201">
        <f t="shared" si="75"/>
        <v>0</v>
      </c>
      <c r="L272" s="201">
        <f t="shared" si="75"/>
        <v>0</v>
      </c>
      <c r="M272" s="201">
        <f t="shared" si="75"/>
        <v>0</v>
      </c>
    </row>
    <row r="273" spans="1:13" ht="14.25" hidden="1">
      <c r="A273" s="122" t="s">
        <v>7</v>
      </c>
      <c r="B273" s="127"/>
      <c r="C273" s="128"/>
      <c r="D273" s="201"/>
      <c r="E273" s="201"/>
      <c r="F273" s="201"/>
      <c r="G273" s="201"/>
      <c r="H273" s="201"/>
      <c r="I273" s="201"/>
      <c r="J273" s="201">
        <f>J270</f>
        <v>0</v>
      </c>
      <c r="K273" s="201">
        <f>K270</f>
        <v>0</v>
      </c>
      <c r="L273" s="201">
        <f>L270</f>
        <v>0</v>
      </c>
      <c r="M273" s="201"/>
    </row>
    <row r="274" ht="13.5" thickBot="1"/>
    <row r="275" spans="1:14" ht="34.5" thickBot="1">
      <c r="A275" s="466" t="s">
        <v>165</v>
      </c>
      <c r="B275" s="467"/>
      <c r="C275" s="419" t="s">
        <v>155</v>
      </c>
      <c r="D275" s="419" t="s">
        <v>156</v>
      </c>
      <c r="E275" s="420"/>
      <c r="F275" s="420"/>
      <c r="G275" s="420"/>
      <c r="H275" s="420"/>
      <c r="I275" s="420"/>
      <c r="J275" s="419" t="s">
        <v>157</v>
      </c>
      <c r="K275" s="419" t="s">
        <v>158</v>
      </c>
      <c r="L275" s="419" t="s">
        <v>159</v>
      </c>
      <c r="M275" s="421" t="s">
        <v>160</v>
      </c>
      <c r="N275" s="422" t="s">
        <v>243</v>
      </c>
    </row>
    <row r="276" spans="1:14" ht="19.5" customHeight="1">
      <c r="A276" s="468" t="s">
        <v>149</v>
      </c>
      <c r="B276" s="469"/>
      <c r="C276" s="202">
        <f>C11+C26+C46+C65+C88+C109+C157</f>
        <v>70236000</v>
      </c>
      <c r="D276" s="202">
        <f aca="true" t="shared" si="76" ref="D276:M276">D157+D109+D88+D65+D46+D26+D11</f>
        <v>57536000</v>
      </c>
      <c r="E276" s="202">
        <f t="shared" si="76"/>
        <v>0</v>
      </c>
      <c r="F276" s="202">
        <f t="shared" si="76"/>
        <v>0</v>
      </c>
      <c r="G276" s="202">
        <f t="shared" si="76"/>
        <v>0</v>
      </c>
      <c r="H276" s="202">
        <f t="shared" si="76"/>
        <v>0</v>
      </c>
      <c r="I276" s="202">
        <f t="shared" si="76"/>
        <v>0</v>
      </c>
      <c r="J276" s="202">
        <f t="shared" si="76"/>
        <v>64085553</v>
      </c>
      <c r="K276" s="202">
        <f t="shared" si="76"/>
        <v>64082553</v>
      </c>
      <c r="L276" s="202">
        <f t="shared" si="76"/>
        <v>48295731</v>
      </c>
      <c r="M276" s="203">
        <f t="shared" si="76"/>
        <v>15789822</v>
      </c>
      <c r="N276" s="423">
        <f>L276/C276</f>
        <v>0.6876207500427132</v>
      </c>
    </row>
    <row r="277" spans="1:14" ht="19.5" customHeight="1">
      <c r="A277" s="464" t="s">
        <v>150</v>
      </c>
      <c r="B277" s="465"/>
      <c r="C277" s="205">
        <f>C244+C229+C214+C194+C193+C161+C114+C91+C66+C47+C43+C27+C12</f>
        <v>110925273</v>
      </c>
      <c r="D277" s="205">
        <f aca="true" t="shared" si="77" ref="D277:M277">D244+D229+D214+D192+D161+D114+D91+D66+D47+D43+D27+D12</f>
        <v>88471219</v>
      </c>
      <c r="E277" s="205">
        <f t="shared" si="77"/>
        <v>0</v>
      </c>
      <c r="F277" s="205">
        <f t="shared" si="77"/>
        <v>0</v>
      </c>
      <c r="G277" s="205">
        <f t="shared" si="77"/>
        <v>0</v>
      </c>
      <c r="H277" s="205">
        <f t="shared" si="77"/>
        <v>0</v>
      </c>
      <c r="I277" s="205">
        <f t="shared" si="77"/>
        <v>0</v>
      </c>
      <c r="J277" s="205">
        <f t="shared" si="77"/>
        <v>80444332</v>
      </c>
      <c r="K277" s="205">
        <f t="shared" si="77"/>
        <v>80444332</v>
      </c>
      <c r="L277" s="205">
        <f t="shared" si="77"/>
        <v>64443918</v>
      </c>
      <c r="M277" s="206">
        <f t="shared" si="77"/>
        <v>16000414</v>
      </c>
      <c r="N277" s="423">
        <f aca="true" t="shared" si="78" ref="N277:N286">L277/C277</f>
        <v>0.5809669542124994</v>
      </c>
    </row>
    <row r="278" spans="1:14" ht="19.5" customHeight="1">
      <c r="A278" s="464" t="s">
        <v>0</v>
      </c>
      <c r="B278" s="465"/>
      <c r="C278" s="205">
        <f>C42</f>
        <v>3362000</v>
      </c>
      <c r="D278" s="205">
        <f aca="true" t="shared" si="79" ref="D278:M278">D42</f>
        <v>3052500</v>
      </c>
      <c r="E278" s="205">
        <f t="shared" si="79"/>
        <v>0</v>
      </c>
      <c r="F278" s="205">
        <f t="shared" si="79"/>
        <v>0</v>
      </c>
      <c r="G278" s="205">
        <f t="shared" si="79"/>
        <v>0</v>
      </c>
      <c r="H278" s="205">
        <f t="shared" si="79"/>
        <v>0</v>
      </c>
      <c r="I278" s="205">
        <f t="shared" si="79"/>
        <v>0</v>
      </c>
      <c r="J278" s="205">
        <f t="shared" si="79"/>
        <v>3362000</v>
      </c>
      <c r="K278" s="205">
        <f t="shared" si="79"/>
        <v>3362000</v>
      </c>
      <c r="L278" s="205">
        <f t="shared" si="79"/>
        <v>1427563</v>
      </c>
      <c r="M278" s="206">
        <f t="shared" si="79"/>
        <v>1934437</v>
      </c>
      <c r="N278" s="423">
        <f t="shared" si="78"/>
        <v>0.42461719214753124</v>
      </c>
    </row>
    <row r="279" spans="1:14" ht="19.5" customHeight="1">
      <c r="A279" s="464" t="s">
        <v>1</v>
      </c>
      <c r="B279" s="465"/>
      <c r="C279" s="205">
        <f>C246</f>
        <v>20825000</v>
      </c>
      <c r="D279" s="205">
        <f aca="true" t="shared" si="80" ref="D279:M279">D246</f>
        <v>16075000</v>
      </c>
      <c r="E279" s="205">
        <f t="shared" si="80"/>
        <v>0</v>
      </c>
      <c r="F279" s="205">
        <f t="shared" si="80"/>
        <v>0</v>
      </c>
      <c r="G279" s="205">
        <f t="shared" si="80"/>
        <v>0</v>
      </c>
      <c r="H279" s="205">
        <f t="shared" si="80"/>
        <v>0</v>
      </c>
      <c r="I279" s="205">
        <f t="shared" si="80"/>
        <v>0</v>
      </c>
      <c r="J279" s="205">
        <f t="shared" si="80"/>
        <v>20825000</v>
      </c>
      <c r="K279" s="205">
        <f t="shared" si="80"/>
        <v>20825000</v>
      </c>
      <c r="L279" s="205">
        <f t="shared" si="80"/>
        <v>16036723</v>
      </c>
      <c r="M279" s="206">
        <f t="shared" si="80"/>
        <v>4788277</v>
      </c>
      <c r="N279" s="423">
        <f t="shared" si="78"/>
        <v>0.7700707322929171</v>
      </c>
    </row>
    <row r="280" spans="1:14" ht="19.5" customHeight="1">
      <c r="A280" s="470" t="s">
        <v>222</v>
      </c>
      <c r="B280" s="471"/>
      <c r="C280" s="205">
        <f>C28</f>
        <v>0</v>
      </c>
      <c r="D280" s="205">
        <f aca="true" t="shared" si="81" ref="D280:M280">D28</f>
        <v>0</v>
      </c>
      <c r="E280" s="205">
        <f t="shared" si="81"/>
        <v>0</v>
      </c>
      <c r="F280" s="205">
        <f t="shared" si="81"/>
        <v>0</v>
      </c>
      <c r="G280" s="205">
        <f t="shared" si="81"/>
        <v>0</v>
      </c>
      <c r="H280" s="205">
        <f t="shared" si="81"/>
        <v>0</v>
      </c>
      <c r="I280" s="205">
        <f t="shared" si="81"/>
        <v>0</v>
      </c>
      <c r="J280" s="205">
        <f t="shared" si="81"/>
        <v>0</v>
      </c>
      <c r="K280" s="205">
        <f t="shared" si="81"/>
        <v>0</v>
      </c>
      <c r="L280" s="205">
        <f t="shared" si="81"/>
        <v>0</v>
      </c>
      <c r="M280" s="206">
        <f t="shared" si="81"/>
        <v>0</v>
      </c>
      <c r="N280" s="423"/>
    </row>
    <row r="281" spans="1:14" ht="19.5" customHeight="1">
      <c r="A281" s="464" t="s">
        <v>148</v>
      </c>
      <c r="B281" s="465"/>
      <c r="C281" s="205">
        <f>C197+C167+C125+C16+C15</f>
        <v>28962650</v>
      </c>
      <c r="D281" s="205">
        <f aca="true" t="shared" si="82" ref="D281:M281">D197+D167+D125+D16+D15</f>
        <v>27872000</v>
      </c>
      <c r="E281" s="205">
        <f t="shared" si="82"/>
        <v>0</v>
      </c>
      <c r="F281" s="205">
        <f t="shared" si="82"/>
        <v>0</v>
      </c>
      <c r="G281" s="205">
        <f t="shared" si="82"/>
        <v>0</v>
      </c>
      <c r="H281" s="205">
        <f t="shared" si="82"/>
        <v>0</v>
      </c>
      <c r="I281" s="205">
        <f t="shared" si="82"/>
        <v>0</v>
      </c>
      <c r="J281" s="205">
        <f t="shared" si="82"/>
        <v>28655000</v>
      </c>
      <c r="K281" s="205">
        <f t="shared" si="82"/>
        <v>28655000</v>
      </c>
      <c r="L281" s="205">
        <f t="shared" si="82"/>
        <v>24309850</v>
      </c>
      <c r="M281" s="205">
        <f t="shared" si="82"/>
        <v>4345150</v>
      </c>
      <c r="N281" s="423">
        <f t="shared" si="78"/>
        <v>0.8393517167800598</v>
      </c>
    </row>
    <row r="282" spans="1:14" ht="19.5" customHeight="1">
      <c r="A282" s="464" t="s">
        <v>2</v>
      </c>
      <c r="B282" s="465"/>
      <c r="C282" s="205">
        <f>C70</f>
        <v>496000</v>
      </c>
      <c r="D282" s="205">
        <f aca="true" t="shared" si="83" ref="D282:M282">D70</f>
        <v>388000</v>
      </c>
      <c r="E282" s="205">
        <f t="shared" si="83"/>
        <v>0</v>
      </c>
      <c r="F282" s="205">
        <f t="shared" si="83"/>
        <v>0</v>
      </c>
      <c r="G282" s="205">
        <f t="shared" si="83"/>
        <v>0</v>
      </c>
      <c r="H282" s="205">
        <f t="shared" si="83"/>
        <v>0</v>
      </c>
      <c r="I282" s="205">
        <f t="shared" si="83"/>
        <v>0</v>
      </c>
      <c r="J282" s="205">
        <f t="shared" si="83"/>
        <v>386460</v>
      </c>
      <c r="K282" s="205">
        <f t="shared" si="83"/>
        <v>386460</v>
      </c>
      <c r="L282" s="205">
        <f t="shared" si="83"/>
        <v>386460</v>
      </c>
      <c r="M282" s="206">
        <f t="shared" si="83"/>
        <v>0</v>
      </c>
      <c r="N282" s="423">
        <f t="shared" si="78"/>
        <v>0.7791532258064516</v>
      </c>
    </row>
    <row r="283" spans="1:14" ht="19.5" customHeight="1">
      <c r="A283" s="464" t="s">
        <v>3</v>
      </c>
      <c r="B283" s="465"/>
      <c r="C283" s="205">
        <f>C170+C71</f>
        <v>22209000</v>
      </c>
      <c r="D283" s="205">
        <f aca="true" t="shared" si="84" ref="D283:M283">D170+D71</f>
        <v>18571140</v>
      </c>
      <c r="E283" s="205">
        <f t="shared" si="84"/>
        <v>0</v>
      </c>
      <c r="F283" s="205">
        <f t="shared" si="84"/>
        <v>0</v>
      </c>
      <c r="G283" s="205">
        <f t="shared" si="84"/>
        <v>0</v>
      </c>
      <c r="H283" s="205">
        <f t="shared" si="84"/>
        <v>0</v>
      </c>
      <c r="I283" s="205">
        <f t="shared" si="84"/>
        <v>0</v>
      </c>
      <c r="J283" s="205">
        <f t="shared" si="84"/>
        <v>16899577</v>
      </c>
      <c r="K283" s="205">
        <f t="shared" si="84"/>
        <v>16899577</v>
      </c>
      <c r="L283" s="205">
        <f t="shared" si="84"/>
        <v>16899577</v>
      </c>
      <c r="M283" s="206">
        <f t="shared" si="84"/>
        <v>0</v>
      </c>
      <c r="N283" s="423">
        <f t="shared" si="78"/>
        <v>0.7609337205637354</v>
      </c>
    </row>
    <row r="284" spans="1:16" ht="19.5" customHeight="1">
      <c r="A284" s="464" t="s">
        <v>4</v>
      </c>
      <c r="B284" s="465"/>
      <c r="C284" s="205">
        <f>C175+C134+C100+C72+C33+C18</f>
        <v>10284000</v>
      </c>
      <c r="D284" s="205">
        <f aca="true" t="shared" si="85" ref="D284:M284">D175+D134+D72+D33+D18+D100</f>
        <v>9804000</v>
      </c>
      <c r="E284" s="205">
        <f t="shared" si="85"/>
        <v>300000</v>
      </c>
      <c r="F284" s="205">
        <f t="shared" si="85"/>
        <v>300000</v>
      </c>
      <c r="G284" s="205">
        <f t="shared" si="85"/>
        <v>300000</v>
      </c>
      <c r="H284" s="205">
        <f t="shared" si="85"/>
        <v>300000</v>
      </c>
      <c r="I284" s="205">
        <f t="shared" si="85"/>
        <v>300000</v>
      </c>
      <c r="J284" s="205">
        <f t="shared" si="85"/>
        <v>8774332</v>
      </c>
      <c r="K284" s="205">
        <f t="shared" si="85"/>
        <v>8774332</v>
      </c>
      <c r="L284" s="205">
        <f t="shared" si="85"/>
        <v>8609603</v>
      </c>
      <c r="M284" s="206">
        <f t="shared" si="85"/>
        <v>164729</v>
      </c>
      <c r="N284" s="423">
        <f t="shared" si="78"/>
        <v>0.8371842668222481</v>
      </c>
      <c r="P284" s="189"/>
    </row>
    <row r="285" spans="1:16" ht="19.5" customHeight="1" hidden="1">
      <c r="A285" s="464" t="s">
        <v>5</v>
      </c>
      <c r="B285" s="46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6"/>
      <c r="N285" s="423" t="e">
        <f t="shared" si="78"/>
        <v>#DIV/0!</v>
      </c>
      <c r="P285" s="189"/>
    </row>
    <row r="286" spans="1:19" ht="19.5" customHeight="1">
      <c r="A286" s="464" t="s">
        <v>6</v>
      </c>
      <c r="B286" s="465"/>
      <c r="C286" s="205">
        <f>C252+C204</f>
        <v>6610000</v>
      </c>
      <c r="D286" s="205">
        <f aca="true" t="shared" si="86" ref="D286:M286">D252+D204</f>
        <v>4680000</v>
      </c>
      <c r="E286" s="205">
        <f t="shared" si="86"/>
        <v>0</v>
      </c>
      <c r="F286" s="205">
        <f t="shared" si="86"/>
        <v>0</v>
      </c>
      <c r="G286" s="205">
        <f t="shared" si="86"/>
        <v>0</v>
      </c>
      <c r="H286" s="205">
        <f t="shared" si="86"/>
        <v>0</v>
      </c>
      <c r="I286" s="205">
        <f t="shared" si="86"/>
        <v>0</v>
      </c>
      <c r="J286" s="205">
        <f t="shared" si="86"/>
        <v>6610000</v>
      </c>
      <c r="K286" s="205">
        <f t="shared" si="86"/>
        <v>6610000</v>
      </c>
      <c r="L286" s="205">
        <f t="shared" si="86"/>
        <v>4169803</v>
      </c>
      <c r="M286" s="206">
        <f t="shared" si="86"/>
        <v>2440197</v>
      </c>
      <c r="N286" s="423">
        <f t="shared" si="78"/>
        <v>0.6308325264750378</v>
      </c>
      <c r="P286" s="189"/>
      <c r="Q286" s="189"/>
      <c r="R286" s="189"/>
      <c r="S286" s="189"/>
    </row>
    <row r="287" spans="1:14" ht="19.5" customHeight="1" thickBot="1">
      <c r="A287" s="474" t="s">
        <v>7</v>
      </c>
      <c r="B287" s="475"/>
      <c r="C287" s="424">
        <f>C270+C253+C238+C223+C205+C182+C139+C103+C75+C58+C36+C21</f>
        <v>0</v>
      </c>
      <c r="D287" s="424">
        <f aca="true" t="shared" si="87" ref="D287:M287">D270+D253+D238+D223+D205+D182+D139+D103+D75+D58+D36+D21</f>
        <v>0</v>
      </c>
      <c r="E287" s="424">
        <f t="shared" si="87"/>
        <v>0</v>
      </c>
      <c r="F287" s="424">
        <f t="shared" si="87"/>
        <v>0</v>
      </c>
      <c r="G287" s="424">
        <f t="shared" si="87"/>
        <v>0</v>
      </c>
      <c r="H287" s="424">
        <f t="shared" si="87"/>
        <v>0</v>
      </c>
      <c r="I287" s="424">
        <f t="shared" si="87"/>
        <v>0</v>
      </c>
      <c r="J287" s="424">
        <f>J253+J223+J205+J182+J139+J75+J58+J21</f>
        <v>-727637</v>
      </c>
      <c r="K287" s="424">
        <f>K253+K223+K205+K182+K139+K75+K58+K21</f>
        <v>-727637</v>
      </c>
      <c r="L287" s="424">
        <f>L253+L223+L205+L182+L139+L75+L58+L21</f>
        <v>-727637</v>
      </c>
      <c r="M287" s="425">
        <f t="shared" si="87"/>
        <v>0</v>
      </c>
      <c r="N287" s="426"/>
    </row>
    <row r="288" ht="13.5" thickBot="1">
      <c r="N288" s="239"/>
    </row>
    <row r="289" spans="1:14" ht="30" customHeight="1" thickBot="1">
      <c r="A289" s="476" t="s">
        <v>147</v>
      </c>
      <c r="B289" s="477"/>
      <c r="C289" s="327">
        <f>C276+C277+C278+C279+C281+C282+C283+C284+C285+C286+C287+C280</f>
        <v>273909923</v>
      </c>
      <c r="D289" s="327">
        <f aca="true" t="shared" si="88" ref="D289:L289">D276+D277+D278+D279+D281+D282+D283+D284+D285+D286+D287+D280</f>
        <v>226449859</v>
      </c>
      <c r="E289" s="327">
        <f t="shared" si="88"/>
        <v>254009642</v>
      </c>
      <c r="F289" s="327">
        <f t="shared" si="88"/>
        <v>254009642</v>
      </c>
      <c r="G289" s="327">
        <f t="shared" si="88"/>
        <v>254009642</v>
      </c>
      <c r="H289" s="327">
        <f t="shared" si="88"/>
        <v>254009642</v>
      </c>
      <c r="I289" s="327">
        <f t="shared" si="88"/>
        <v>254009642</v>
      </c>
      <c r="J289" s="327">
        <f t="shared" si="88"/>
        <v>229314617</v>
      </c>
      <c r="K289" s="327">
        <f t="shared" si="88"/>
        <v>229311617</v>
      </c>
      <c r="L289" s="327">
        <f t="shared" si="88"/>
        <v>183851591</v>
      </c>
      <c r="M289" s="327">
        <f>M276+M277+M278+M279+M281+M282+M283+M284+M285+M286+M287+M280</f>
        <v>45463026</v>
      </c>
      <c r="N289" s="328">
        <f>L289/C289</f>
        <v>0.6712118677058662</v>
      </c>
    </row>
    <row r="291" ht="12.75">
      <c r="A291" s="207" t="s">
        <v>168</v>
      </c>
    </row>
    <row r="292" spans="1:11" ht="12.75">
      <c r="A292" s="208" t="s">
        <v>194</v>
      </c>
      <c r="C292" s="209" t="s">
        <v>169</v>
      </c>
      <c r="D292" s="209"/>
      <c r="E292" s="209"/>
      <c r="F292" s="209"/>
      <c r="G292" s="209"/>
      <c r="H292" s="209"/>
      <c r="I292" s="209"/>
      <c r="J292" s="209"/>
      <c r="K292" s="209" t="s">
        <v>232</v>
      </c>
    </row>
    <row r="293" spans="1:16" ht="12.75">
      <c r="A293" s="210" t="s">
        <v>229</v>
      </c>
      <c r="C293" s="111" t="s">
        <v>170</v>
      </c>
      <c r="K293" s="111" t="s">
        <v>228</v>
      </c>
      <c r="P293" s="189"/>
    </row>
    <row r="296" spans="2:13" ht="12.75" hidden="1">
      <c r="B296" s="472" t="s">
        <v>212</v>
      </c>
      <c r="C296" s="211">
        <f>C256+C255+C240+C225+C210+C209+C208+C188+C187+C186+C185+C184+C152+C150+C149+C145+C143+C106+C84+C83+C82+C81+C80+C79+C78+C61+C60+C43+C42+C39+C23</f>
        <v>267714923</v>
      </c>
      <c r="D296" s="211">
        <f aca="true" t="shared" si="89" ref="D296:I296">D256+D255+D240+D225+D210+D209+D208+D188+D187+D186+D185+D184+D152+D150+D149+D145+D143+D106+D84+D83+D82+D81+D80+D79+D78+D61+D60+D43+D42+D39+D23</f>
        <v>221532859</v>
      </c>
      <c r="E296" s="211">
        <f t="shared" si="89"/>
        <v>0</v>
      </c>
      <c r="F296" s="211">
        <f t="shared" si="89"/>
        <v>0</v>
      </c>
      <c r="G296" s="211">
        <f t="shared" si="89"/>
        <v>0</v>
      </c>
      <c r="H296" s="211" t="e">
        <f t="shared" si="89"/>
        <v>#VALUE!</v>
      </c>
      <c r="I296" s="211">
        <f t="shared" si="89"/>
        <v>0</v>
      </c>
      <c r="J296" s="211">
        <f>J258+J256+J255+J241+J240+J225+J211+J189+J210+J209+J208+J188+J187+J186+J185+J184+J155+J152+J150+J149+J145+J143+J106+J84+J83+J82+J81+J80+J79+J78+J63+J61+J60+J42+J39+J24+J23</f>
        <v>224324471</v>
      </c>
      <c r="K296" s="211">
        <f>K258+K256+K255+K241+K240+K225+K211+K189+K210+K209+K208+K188+K187+K186+K185+K184+K155+K152+K150+K149+K145+K143+K106+K84+K83+K82+K81+K80+K79+K78+K63+K61+K60+K42+K39+K24+K23</f>
        <v>224321471</v>
      </c>
      <c r="L296" s="211">
        <f>L258+L256+L255+L241+L240+L225+L211+L189+L210+L209+L208+L188+L187+L186+L185+L184+L155+L152+L150+L149+L145+L143+L106+L84+L83+L82+L81+L80+L79+L78+L63+L61+L60+L42+L39+L24+L23</f>
        <v>182050893</v>
      </c>
      <c r="M296" s="211">
        <f>M258+M256+M255+M241+M240+M225+M211+M189+M210+M209+M208+M188+M187+M186+M185+M184+M155+M152+M150+M149+M145+M143+M106+M84+M83+M82+M81+M80+M79+M78+M63+M61+M60+M42+M39+M24+M23</f>
        <v>42273578</v>
      </c>
    </row>
    <row r="297" ht="12.75" hidden="1">
      <c r="B297" s="473"/>
    </row>
    <row r="298" spans="2:15" ht="12.75" hidden="1">
      <c r="B298" s="111" t="s">
        <v>219</v>
      </c>
      <c r="C298" s="189">
        <f>C289-C296</f>
        <v>6195000</v>
      </c>
      <c r="D298" s="189">
        <f aca="true" t="shared" si="90" ref="D298:M298">D289-D296</f>
        <v>4917000</v>
      </c>
      <c r="E298" s="189">
        <f t="shared" si="90"/>
        <v>0</v>
      </c>
      <c r="F298" s="189">
        <f t="shared" si="90"/>
        <v>0</v>
      </c>
      <c r="G298" s="189">
        <f t="shared" si="90"/>
        <v>0</v>
      </c>
      <c r="H298" s="189">
        <f t="shared" si="90"/>
        <v>0</v>
      </c>
      <c r="I298" s="189">
        <f t="shared" si="90"/>
        <v>0</v>
      </c>
      <c r="J298" s="189">
        <f t="shared" si="90"/>
        <v>4990146</v>
      </c>
      <c r="K298" s="189">
        <f t="shared" si="90"/>
        <v>4990146</v>
      </c>
      <c r="L298" s="189">
        <f t="shared" si="90"/>
        <v>1800698</v>
      </c>
      <c r="M298" s="189">
        <f t="shared" si="90"/>
        <v>3189448</v>
      </c>
      <c r="O298" s="189"/>
    </row>
    <row r="301" spans="5:9" ht="12.75" hidden="1">
      <c r="E301" s="446" t="s">
        <v>115</v>
      </c>
      <c r="F301" s="447"/>
      <c r="G301" s="448"/>
      <c r="H301" s="452">
        <f>I272+I257+I240+I225++I210+I188+I154+I106+I81+I62+I43+I39+I23</f>
        <v>67930000</v>
      </c>
      <c r="I301" s="453"/>
    </row>
    <row r="302" spans="5:9" ht="13.5" hidden="1" thickBot="1">
      <c r="E302" s="449"/>
      <c r="F302" s="450"/>
      <c r="G302" s="451"/>
      <c r="H302" s="454"/>
      <c r="I302" s="455"/>
    </row>
    <row r="303" ht="12.75" hidden="1"/>
    <row r="304" spans="1:2" ht="16.5" hidden="1" thickBot="1">
      <c r="A304" s="204" t="s">
        <v>147</v>
      </c>
      <c r="B304" s="212">
        <f>I272+I257+I240+I225+I210+I188+I154+I106+I81+I62+I43+I39+I23</f>
        <v>67930000</v>
      </c>
    </row>
    <row r="305" spans="1:6" ht="18" hidden="1">
      <c r="A305" s="213" t="s">
        <v>139</v>
      </c>
      <c r="B305" s="214" t="s">
        <v>140</v>
      </c>
      <c r="C305" s="214" t="s">
        <v>141</v>
      </c>
      <c r="D305" s="214" t="s">
        <v>142</v>
      </c>
      <c r="E305" s="214" t="s">
        <v>143</v>
      </c>
      <c r="F305" s="215" t="s">
        <v>144</v>
      </c>
    </row>
    <row r="306" spans="1:6" ht="15.75" hidden="1">
      <c r="A306" s="216" t="s">
        <v>149</v>
      </c>
      <c r="B306" s="212">
        <f>C306+D306+E306+F306</f>
        <v>57536000</v>
      </c>
      <c r="C306" s="217">
        <f>D157+D88+D65+D46+D26+D11</f>
        <v>57536000</v>
      </c>
      <c r="D306" s="217">
        <f>E157+E88+E65+E46+E26+E11</f>
        <v>0</v>
      </c>
      <c r="E306" s="217">
        <f>F157+F88+F65+F46+F26+F11</f>
        <v>0</v>
      </c>
      <c r="F306" s="218">
        <f>G157+G88+G65+G46+G26+G11</f>
        <v>0</v>
      </c>
    </row>
    <row r="307" spans="1:6" ht="15.75" hidden="1">
      <c r="A307" s="216" t="s">
        <v>162</v>
      </c>
      <c r="B307" s="212">
        <f aca="true" t="shared" si="91" ref="B307:B316">C307+D307+E307+F307</f>
        <v>88471219</v>
      </c>
      <c r="C307" s="217">
        <f>D244+D229+D214+D192+D161+D114+D91+D66+D47+D43+D27+D12</f>
        <v>88471219</v>
      </c>
      <c r="D307" s="217">
        <f>E244+E229+E214+E192+E161+E114+E91+E66+E47+E43+E27+E12</f>
        <v>0</v>
      </c>
      <c r="E307" s="217">
        <f>F244+F229+F214+F192+F161+F114+F91+F66+F47+F43+F27+F12</f>
        <v>0</v>
      </c>
      <c r="F307" s="218">
        <f>G244+G229+G214+G192+G161+G114+G91+G66+G47+G43+G27+G12</f>
        <v>0</v>
      </c>
    </row>
    <row r="308" spans="1:6" ht="15.75" hidden="1">
      <c r="A308" s="216" t="s">
        <v>0</v>
      </c>
      <c r="B308" s="212">
        <f t="shared" si="91"/>
        <v>3052500</v>
      </c>
      <c r="C308" s="217">
        <f>D42</f>
        <v>3052500</v>
      </c>
      <c r="D308" s="217">
        <f>E42</f>
        <v>0</v>
      </c>
      <c r="E308" s="217">
        <f>F42</f>
        <v>0</v>
      </c>
      <c r="F308" s="218">
        <f>G42</f>
        <v>0</v>
      </c>
    </row>
    <row r="309" spans="1:6" ht="15.75" hidden="1">
      <c r="A309" s="216" t="s">
        <v>1</v>
      </c>
      <c r="B309" s="212">
        <f t="shared" si="91"/>
        <v>16075000</v>
      </c>
      <c r="C309" s="217">
        <f>D246</f>
        <v>16075000</v>
      </c>
      <c r="D309" s="217">
        <f>E246</f>
        <v>0</v>
      </c>
      <c r="E309" s="217">
        <f>F246</f>
        <v>0</v>
      </c>
      <c r="F309" s="218">
        <f>G246</f>
        <v>0</v>
      </c>
    </row>
    <row r="310" spans="1:6" ht="15.75" hidden="1">
      <c r="A310" s="216" t="s">
        <v>148</v>
      </c>
      <c r="B310" s="212">
        <f t="shared" si="91"/>
        <v>27772000</v>
      </c>
      <c r="C310" s="217">
        <f>D197+D167+D125</f>
        <v>27772000</v>
      </c>
      <c r="D310" s="217">
        <f>E197+E167+E125</f>
        <v>0</v>
      </c>
      <c r="E310" s="217">
        <f>F197+F167+F125</f>
        <v>0</v>
      </c>
      <c r="F310" s="218">
        <f>G197+G167+G125</f>
        <v>0</v>
      </c>
    </row>
    <row r="311" spans="1:6" ht="15.75" hidden="1">
      <c r="A311" s="216" t="s">
        <v>2</v>
      </c>
      <c r="B311" s="212">
        <f t="shared" si="91"/>
        <v>0</v>
      </c>
      <c r="C311" s="219"/>
      <c r="D311" s="219"/>
      <c r="E311" s="219"/>
      <c r="F311" s="220"/>
    </row>
    <row r="312" spans="1:6" ht="15.75" hidden="1">
      <c r="A312" s="216" t="s">
        <v>3</v>
      </c>
      <c r="B312" s="212">
        <f t="shared" si="91"/>
        <v>18571140</v>
      </c>
      <c r="C312" s="217">
        <f>D170+D71</f>
        <v>18571140</v>
      </c>
      <c r="D312" s="217">
        <f>E170+E71</f>
        <v>0</v>
      </c>
      <c r="E312" s="217">
        <f>F170+F71</f>
        <v>0</v>
      </c>
      <c r="F312" s="218">
        <f>G170+G71</f>
        <v>0</v>
      </c>
    </row>
    <row r="313" spans="1:6" ht="15.75" hidden="1">
      <c r="A313" s="216" t="s">
        <v>4</v>
      </c>
      <c r="B313" s="212">
        <f t="shared" si="91"/>
        <v>10586200</v>
      </c>
      <c r="C313" s="217">
        <f>D267+D202+D175+D134+D72</f>
        <v>9653000</v>
      </c>
      <c r="D313" s="217">
        <f>E267+E202+E175+E134+E72</f>
        <v>306300</v>
      </c>
      <c r="E313" s="217">
        <f>F267+F202+F175+F134+F72</f>
        <v>306300</v>
      </c>
      <c r="F313" s="218">
        <f>G267+G202+G175+G134+G72</f>
        <v>320600</v>
      </c>
    </row>
    <row r="314" spans="1:6" ht="15.75" hidden="1">
      <c r="A314" s="216" t="s">
        <v>5</v>
      </c>
      <c r="B314" s="212">
        <f t="shared" si="91"/>
        <v>0</v>
      </c>
      <c r="C314" s="219"/>
      <c r="D314" s="219"/>
      <c r="E314" s="219"/>
      <c r="F314" s="220"/>
    </row>
    <row r="315" spans="1:6" ht="15.75" hidden="1">
      <c r="A315" s="216" t="s">
        <v>6</v>
      </c>
      <c r="B315" s="212">
        <f t="shared" si="91"/>
        <v>4680000</v>
      </c>
      <c r="C315" s="217">
        <f>D252+D204</f>
        <v>4680000</v>
      </c>
      <c r="D315" s="217">
        <f>E252+E204</f>
        <v>0</v>
      </c>
      <c r="E315" s="217">
        <f>F252+F204</f>
        <v>0</v>
      </c>
      <c r="F315" s="218">
        <f>G252+G204</f>
        <v>0</v>
      </c>
    </row>
    <row r="316" spans="1:6" ht="15.75" hidden="1">
      <c r="A316" s="216" t="s">
        <v>7</v>
      </c>
      <c r="B316" s="212">
        <f t="shared" si="91"/>
        <v>0</v>
      </c>
      <c r="C316" s="219"/>
      <c r="D316" s="219"/>
      <c r="E316" s="219"/>
      <c r="F316" s="220"/>
    </row>
    <row r="317" spans="1:6" ht="16.5" hidden="1" thickBot="1">
      <c r="A317" s="221" t="s">
        <v>145</v>
      </c>
      <c r="B317" s="222">
        <f>B306+B307+B308+B309+B310+B311+B312+B313+B314+B315+B316</f>
        <v>226744059</v>
      </c>
      <c r="C317" s="222">
        <f>C306+C307+C308+C309+C310+C311+C312+C313+C314+C315+C316</f>
        <v>225810859</v>
      </c>
      <c r="D317" s="222">
        <f>D306+D307+D308+D309+D310+D311+D312+D313+D314+D315+D316</f>
        <v>306300</v>
      </c>
      <c r="E317" s="222">
        <f>E306+E307+E308+E309+E310+E311+E312+E313+E314+E315+E316</f>
        <v>306300</v>
      </c>
      <c r="F317" s="223">
        <f>F306+F307+F308+F309+F310+F311+F312+F313+F314+F315+F316</f>
        <v>320600</v>
      </c>
    </row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</sheetData>
  <sheetProtection/>
  <mergeCells count="37">
    <mergeCell ref="B296:B297"/>
    <mergeCell ref="A287:B287"/>
    <mergeCell ref="A289:B289"/>
    <mergeCell ref="A283:B283"/>
    <mergeCell ref="A284:B284"/>
    <mergeCell ref="A285:B285"/>
    <mergeCell ref="A286:B286"/>
    <mergeCell ref="A8:B8"/>
    <mergeCell ref="A279:B279"/>
    <mergeCell ref="A281:B281"/>
    <mergeCell ref="A282:B282"/>
    <mergeCell ref="A275:B275"/>
    <mergeCell ref="A276:B276"/>
    <mergeCell ref="A277:B277"/>
    <mergeCell ref="A278:B278"/>
    <mergeCell ref="A280:B280"/>
    <mergeCell ref="B26:B27"/>
    <mergeCell ref="A6:M6"/>
    <mergeCell ref="E301:G302"/>
    <mergeCell ref="H301:I302"/>
    <mergeCell ref="H79:I79"/>
    <mergeCell ref="H12:I12"/>
    <mergeCell ref="H27:I27"/>
    <mergeCell ref="H42:I42"/>
    <mergeCell ref="H60:I60"/>
    <mergeCell ref="H267:I267"/>
    <mergeCell ref="H255:I255"/>
    <mergeCell ref="B11:B18"/>
    <mergeCell ref="K1:M2"/>
    <mergeCell ref="H152:I152"/>
    <mergeCell ref="H94:I94"/>
    <mergeCell ref="H229:I229"/>
    <mergeCell ref="H214:I214"/>
    <mergeCell ref="H208:I208"/>
    <mergeCell ref="H186:I186"/>
    <mergeCell ref="L7:M7"/>
    <mergeCell ref="A3:M5"/>
  </mergeCells>
  <printOptions/>
  <pageMargins left="0.56" right="0.17" top="0.49" bottom="1.32" header="0.61" footer="1.21"/>
  <pageSetup fitToHeight="5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69"/>
  <sheetViews>
    <sheetView tabSelected="1" workbookViewId="0" topLeftCell="A110">
      <selection activeCell="H167" sqref="H167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710937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7109375" style="0" customWidth="1"/>
  </cols>
  <sheetData>
    <row r="1" ht="14.25">
      <c r="A1" s="37" t="s">
        <v>195</v>
      </c>
    </row>
    <row r="2" spans="1:11" ht="14.25">
      <c r="A2" s="37" t="s">
        <v>196</v>
      </c>
      <c r="I2" s="495" t="s">
        <v>284</v>
      </c>
      <c r="J2" s="495"/>
      <c r="K2" s="495"/>
    </row>
    <row r="3" spans="1:12" ht="14.25">
      <c r="A3" s="37"/>
      <c r="I3" s="23"/>
      <c r="J3" s="23"/>
      <c r="K3" s="23"/>
      <c r="L3" s="23"/>
    </row>
    <row r="4" spans="1:12" ht="24.75" customHeight="1">
      <c r="A4" s="478" t="s">
        <v>173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</row>
    <row r="5" spans="1:12" ht="24.75" customHeight="1">
      <c r="A5" s="478" t="s">
        <v>282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</row>
    <row r="6" spans="1:12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6" t="s">
        <v>171</v>
      </c>
      <c r="L6" s="26" t="s">
        <v>171</v>
      </c>
    </row>
    <row r="7" spans="1:12" ht="34.5" customHeight="1">
      <c r="A7" s="490" t="s">
        <v>154</v>
      </c>
      <c r="B7" s="491"/>
      <c r="C7" s="57" t="s">
        <v>155</v>
      </c>
      <c r="D7" s="57" t="s">
        <v>156</v>
      </c>
      <c r="E7" s="58"/>
      <c r="F7" s="58"/>
      <c r="G7" s="58"/>
      <c r="H7" s="57" t="s">
        <v>157</v>
      </c>
      <c r="I7" s="57" t="s">
        <v>158</v>
      </c>
      <c r="J7" s="57" t="s">
        <v>159</v>
      </c>
      <c r="K7" s="59" t="s">
        <v>160</v>
      </c>
      <c r="L7" s="59" t="s">
        <v>245</v>
      </c>
    </row>
    <row r="8" spans="1:12" ht="12.75" customHeight="1" thickBot="1">
      <c r="A8" s="310"/>
      <c r="B8" s="311"/>
      <c r="C8" s="312">
        <v>1</v>
      </c>
      <c r="D8" s="312">
        <v>2</v>
      </c>
      <c r="E8" s="312"/>
      <c r="F8" s="312"/>
      <c r="G8" s="312"/>
      <c r="H8" s="312">
        <v>3</v>
      </c>
      <c r="I8" s="312">
        <v>4</v>
      </c>
      <c r="J8" s="312">
        <v>5</v>
      </c>
      <c r="K8" s="313" t="s">
        <v>163</v>
      </c>
      <c r="L8" s="314" t="s">
        <v>246</v>
      </c>
    </row>
    <row r="9" spans="1:12" ht="24.75" customHeight="1" thickBot="1">
      <c r="A9" s="50" t="s">
        <v>121</v>
      </c>
      <c r="B9" s="51" t="s">
        <v>161</v>
      </c>
      <c r="C9" s="52">
        <f>C10+C11+C12+C13+C14</f>
        <v>1865000</v>
      </c>
      <c r="D9" s="52">
        <f aca="true" t="shared" si="0" ref="D9:K9">D10+D11+D12+D13+D14</f>
        <v>1865000</v>
      </c>
      <c r="E9" s="52">
        <f t="shared" si="0"/>
        <v>700000</v>
      </c>
      <c r="F9" s="52">
        <f t="shared" si="0"/>
        <v>436322</v>
      </c>
      <c r="G9" s="52">
        <f t="shared" si="0"/>
        <v>160000</v>
      </c>
      <c r="H9" s="52">
        <f t="shared" si="0"/>
        <v>1476753</v>
      </c>
      <c r="I9" s="52">
        <f t="shared" si="0"/>
        <v>1476753</v>
      </c>
      <c r="J9" s="52">
        <f t="shared" si="0"/>
        <v>1343514</v>
      </c>
      <c r="K9" s="53">
        <f t="shared" si="0"/>
        <v>133239</v>
      </c>
      <c r="L9" s="319">
        <f>J9/C9</f>
        <v>0.7203828418230563</v>
      </c>
    </row>
    <row r="10" spans="1:12" ht="12.75">
      <c r="A10" s="315" t="s">
        <v>176</v>
      </c>
      <c r="B10" s="44"/>
      <c r="C10" s="66">
        <f>D10+E10+F10+G10</f>
        <v>0</v>
      </c>
      <c r="D10" s="66"/>
      <c r="E10" s="66"/>
      <c r="F10" s="66"/>
      <c r="G10" s="316"/>
      <c r="H10" s="66"/>
      <c r="I10" s="66"/>
      <c r="J10" s="66"/>
      <c r="K10" s="317">
        <f>H10-J10</f>
        <v>0</v>
      </c>
      <c r="L10" s="318"/>
    </row>
    <row r="11" spans="1:12" ht="12.75">
      <c r="A11" s="1" t="s">
        <v>177</v>
      </c>
      <c r="B11" s="44"/>
      <c r="C11" s="10">
        <f>D11+E11+F11+G11</f>
        <v>0</v>
      </c>
      <c r="D11" s="10"/>
      <c r="E11" s="10"/>
      <c r="F11" s="10"/>
      <c r="G11" s="81"/>
      <c r="H11" s="10"/>
      <c r="I11" s="10"/>
      <c r="J11" s="10"/>
      <c r="K11" s="20">
        <f>H11-J11</f>
        <v>0</v>
      </c>
      <c r="L11" s="251"/>
    </row>
    <row r="12" spans="1:12" ht="12.75">
      <c r="A12" s="275" t="s">
        <v>253</v>
      </c>
      <c r="B12" s="276"/>
      <c r="C12" s="266">
        <v>920000</v>
      </c>
      <c r="D12" s="266">
        <v>920000</v>
      </c>
      <c r="E12" s="266"/>
      <c r="F12" s="266"/>
      <c r="G12" s="267"/>
      <c r="H12" s="266">
        <v>757364</v>
      </c>
      <c r="I12" s="266">
        <v>757364</v>
      </c>
      <c r="J12" s="266">
        <v>624125</v>
      </c>
      <c r="K12" s="268">
        <f>H12-J12</f>
        <v>133239</v>
      </c>
      <c r="L12" s="273">
        <f>J12/C12</f>
        <v>0.6783967391304347</v>
      </c>
    </row>
    <row r="13" spans="1:12" ht="12.75">
      <c r="A13" s="48" t="s">
        <v>181</v>
      </c>
      <c r="B13" s="69" t="s">
        <v>10</v>
      </c>
      <c r="C13" s="49">
        <v>945000</v>
      </c>
      <c r="D13" s="49">
        <v>945000</v>
      </c>
      <c r="E13" s="49">
        <v>700000</v>
      </c>
      <c r="F13" s="49">
        <v>436322</v>
      </c>
      <c r="G13" s="82">
        <v>160000</v>
      </c>
      <c r="H13" s="49">
        <v>719389</v>
      </c>
      <c r="I13" s="49">
        <v>719389</v>
      </c>
      <c r="J13" s="49">
        <v>719389</v>
      </c>
      <c r="K13" s="63">
        <f>H13-J13</f>
        <v>0</v>
      </c>
      <c r="L13" s="253">
        <f>J13/C13</f>
        <v>0.7612582010582011</v>
      </c>
    </row>
    <row r="14" spans="1:12" ht="13.5" thickBot="1">
      <c r="A14" s="4" t="s">
        <v>180</v>
      </c>
      <c r="B14" s="44"/>
      <c r="C14" s="65"/>
      <c r="D14" s="65"/>
      <c r="E14" s="65"/>
      <c r="F14" s="65"/>
      <c r="G14" s="93"/>
      <c r="H14" s="65"/>
      <c r="I14" s="65"/>
      <c r="J14" s="65"/>
      <c r="K14" s="94">
        <f>H14-J14</f>
        <v>0</v>
      </c>
      <c r="L14" s="254"/>
    </row>
    <row r="15" spans="1:12" ht="13.5" thickBot="1">
      <c r="A15" s="479" t="s">
        <v>122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1"/>
    </row>
    <row r="16" spans="1:12" ht="13.5" thickBot="1">
      <c r="A16" s="97" t="s">
        <v>123</v>
      </c>
      <c r="B16" s="71" t="s">
        <v>10</v>
      </c>
      <c r="C16" s="98">
        <f>C13+C12</f>
        <v>1865000</v>
      </c>
      <c r="D16" s="98">
        <f aca="true" t="shared" si="1" ref="D16:K16">D13+D12</f>
        <v>1865000</v>
      </c>
      <c r="E16" s="98">
        <f t="shared" si="1"/>
        <v>700000</v>
      </c>
      <c r="F16" s="98">
        <f t="shared" si="1"/>
        <v>436322</v>
      </c>
      <c r="G16" s="98">
        <f t="shared" si="1"/>
        <v>160000</v>
      </c>
      <c r="H16" s="98">
        <f t="shared" si="1"/>
        <v>1476753</v>
      </c>
      <c r="I16" s="98">
        <f t="shared" si="1"/>
        <v>1476753</v>
      </c>
      <c r="J16" s="98">
        <f t="shared" si="1"/>
        <v>1343514</v>
      </c>
      <c r="K16" s="98">
        <f t="shared" si="1"/>
        <v>133239</v>
      </c>
      <c r="L16" s="252">
        <f>J16/C16</f>
        <v>0.7203828418230563</v>
      </c>
    </row>
    <row r="17" spans="1:12" ht="13.5" hidden="1" thickBot="1">
      <c r="A17" s="17" t="s">
        <v>125</v>
      </c>
      <c r="B17" s="55" t="s">
        <v>161</v>
      </c>
      <c r="C17" s="27">
        <f>C18+C19+C20+C21+C22</f>
        <v>0</v>
      </c>
      <c r="D17" s="27">
        <f aca="true" t="shared" si="2" ref="D17:K17">D18+D19+D20+D21+D22</f>
        <v>0</v>
      </c>
      <c r="E17" s="27">
        <f t="shared" si="2"/>
        <v>6000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60">
        <f t="shared" si="2"/>
        <v>0</v>
      </c>
      <c r="L17" s="255"/>
    </row>
    <row r="18" spans="1:12" ht="12.75" hidden="1">
      <c r="A18" s="12" t="s">
        <v>176</v>
      </c>
      <c r="B18" s="485" t="s">
        <v>13</v>
      </c>
      <c r="C18" s="13">
        <f>D18+E18+F18+G18</f>
        <v>0</v>
      </c>
      <c r="D18" s="13"/>
      <c r="E18" s="13"/>
      <c r="F18" s="13"/>
      <c r="G18" s="83"/>
      <c r="H18" s="10"/>
      <c r="I18" s="10"/>
      <c r="J18" s="10"/>
      <c r="K18" s="20">
        <f>H18-J18</f>
        <v>0</v>
      </c>
      <c r="L18" s="251"/>
    </row>
    <row r="19" spans="1:12" ht="12.75" hidden="1">
      <c r="A19" s="1" t="s">
        <v>177</v>
      </c>
      <c r="B19" s="486"/>
      <c r="C19" s="10">
        <f>D19+E19+F19+G19</f>
        <v>0</v>
      </c>
      <c r="D19" s="10"/>
      <c r="E19" s="10"/>
      <c r="F19" s="10"/>
      <c r="G19" s="81"/>
      <c r="H19" s="10"/>
      <c r="I19" s="10"/>
      <c r="J19" s="10"/>
      <c r="K19" s="20">
        <f>H19-J19</f>
        <v>0</v>
      </c>
      <c r="L19" s="251"/>
    </row>
    <row r="20" spans="1:12" ht="12.75" hidden="1">
      <c r="A20" s="1" t="s">
        <v>178</v>
      </c>
      <c r="B20" s="486"/>
      <c r="C20" s="10">
        <f>D20+E20+F20+G20</f>
        <v>0</v>
      </c>
      <c r="D20" s="10"/>
      <c r="E20" s="10"/>
      <c r="F20" s="10"/>
      <c r="G20" s="81"/>
      <c r="H20" s="10"/>
      <c r="I20" s="10"/>
      <c r="J20" s="10"/>
      <c r="K20" s="20">
        <f>H20-J20</f>
        <v>0</v>
      </c>
      <c r="L20" s="251"/>
    </row>
    <row r="21" spans="1:12" ht="12.75" hidden="1">
      <c r="A21" s="48" t="s">
        <v>179</v>
      </c>
      <c r="B21" s="486"/>
      <c r="C21" s="49">
        <v>0</v>
      </c>
      <c r="D21" s="49">
        <v>0</v>
      </c>
      <c r="E21" s="49">
        <v>6000</v>
      </c>
      <c r="F21" s="49"/>
      <c r="G21" s="82"/>
      <c r="H21" s="49">
        <v>0</v>
      </c>
      <c r="I21" s="49">
        <v>0</v>
      </c>
      <c r="J21" s="49">
        <v>0</v>
      </c>
      <c r="K21" s="63">
        <f>H21-J21</f>
        <v>0</v>
      </c>
      <c r="L21" s="253"/>
    </row>
    <row r="22" spans="1:12" ht="13.5" hidden="1" thickBot="1">
      <c r="A22" s="4" t="s">
        <v>180</v>
      </c>
      <c r="B22" s="486"/>
      <c r="C22" s="65"/>
      <c r="D22" s="65"/>
      <c r="E22" s="65"/>
      <c r="F22" s="65"/>
      <c r="G22" s="93"/>
      <c r="H22" s="65"/>
      <c r="I22" s="65"/>
      <c r="J22" s="65"/>
      <c r="K22" s="94">
        <f>H22-J22</f>
        <v>0</v>
      </c>
      <c r="L22" s="254"/>
    </row>
    <row r="23" spans="1:12" ht="13.5" thickBot="1">
      <c r="A23" s="482" t="s">
        <v>122</v>
      </c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4"/>
    </row>
    <row r="24" spans="1:12" ht="13.5" thickBot="1">
      <c r="A24" s="95" t="s">
        <v>124</v>
      </c>
      <c r="B24" s="44" t="s">
        <v>13</v>
      </c>
      <c r="C24" s="96">
        <f>C21</f>
        <v>0</v>
      </c>
      <c r="D24" s="96">
        <f aca="true" t="shared" si="3" ref="D24:K24">D21</f>
        <v>0</v>
      </c>
      <c r="E24" s="96">
        <f t="shared" si="3"/>
        <v>6000</v>
      </c>
      <c r="F24" s="96">
        <f t="shared" si="3"/>
        <v>0</v>
      </c>
      <c r="G24" s="96">
        <f t="shared" si="3"/>
        <v>0</v>
      </c>
      <c r="H24" s="96">
        <f t="shared" si="3"/>
        <v>0</v>
      </c>
      <c r="I24" s="96">
        <f t="shared" si="3"/>
        <v>0</v>
      </c>
      <c r="J24" s="96">
        <f t="shared" si="3"/>
        <v>0</v>
      </c>
      <c r="K24" s="104">
        <f t="shared" si="3"/>
        <v>0</v>
      </c>
      <c r="L24" s="256"/>
    </row>
    <row r="25" spans="1:12" ht="24.75" customHeight="1" thickBot="1">
      <c r="A25" s="50" t="s">
        <v>126</v>
      </c>
      <c r="B25" s="51" t="s">
        <v>161</v>
      </c>
      <c r="C25" s="52">
        <f>C28+C29</f>
        <v>693200</v>
      </c>
      <c r="D25" s="52">
        <f aca="true" t="shared" si="4" ref="D25:K25">D28+D29</f>
        <v>693200</v>
      </c>
      <c r="E25" s="52">
        <f t="shared" si="4"/>
        <v>0</v>
      </c>
      <c r="F25" s="52">
        <f t="shared" si="4"/>
        <v>0</v>
      </c>
      <c r="G25" s="52">
        <f t="shared" si="4"/>
        <v>0</v>
      </c>
      <c r="H25" s="52">
        <f t="shared" si="4"/>
        <v>534052</v>
      </c>
      <c r="I25" s="52">
        <f t="shared" si="4"/>
        <v>501052</v>
      </c>
      <c r="J25" s="52">
        <f t="shared" si="4"/>
        <v>490177</v>
      </c>
      <c r="K25" s="53">
        <f t="shared" si="4"/>
        <v>43875</v>
      </c>
      <c r="L25" s="319">
        <f>J25/C25</f>
        <v>0.7071220427005194</v>
      </c>
    </row>
    <row r="26" spans="1:12" ht="12.75">
      <c r="A26" s="315" t="s">
        <v>176</v>
      </c>
      <c r="B26" s="44"/>
      <c r="C26" s="66">
        <f>D26+E26+F26+G26</f>
        <v>0</v>
      </c>
      <c r="D26" s="66"/>
      <c r="E26" s="66"/>
      <c r="F26" s="66"/>
      <c r="G26" s="316"/>
      <c r="H26" s="66"/>
      <c r="I26" s="66"/>
      <c r="J26" s="66"/>
      <c r="K26" s="317">
        <f>H26-J26</f>
        <v>0</v>
      </c>
      <c r="L26" s="318"/>
    </row>
    <row r="27" spans="1:12" ht="12.75">
      <c r="A27" s="1" t="s">
        <v>177</v>
      </c>
      <c r="B27" s="44"/>
      <c r="C27" s="65">
        <f>D27+E27+F27+G27</f>
        <v>0</v>
      </c>
      <c r="D27" s="10"/>
      <c r="E27" s="10"/>
      <c r="F27" s="10"/>
      <c r="G27" s="81"/>
      <c r="H27" s="10"/>
      <c r="I27" s="10"/>
      <c r="J27" s="10"/>
      <c r="K27" s="20">
        <f>H27-J27</f>
        <v>0</v>
      </c>
      <c r="L27" s="251"/>
    </row>
    <row r="28" spans="1:12" ht="12.75">
      <c r="A28" s="275" t="s">
        <v>270</v>
      </c>
      <c r="B28" s="54" t="s">
        <v>23</v>
      </c>
      <c r="C28" s="11">
        <v>233000</v>
      </c>
      <c r="D28" s="11">
        <v>233000</v>
      </c>
      <c r="E28" s="11"/>
      <c r="F28" s="11"/>
      <c r="G28" s="84"/>
      <c r="H28" s="11">
        <v>227405</v>
      </c>
      <c r="I28" s="11">
        <v>227405</v>
      </c>
      <c r="J28" s="11">
        <v>183530</v>
      </c>
      <c r="K28" s="61">
        <f>H28-J28</f>
        <v>43875</v>
      </c>
      <c r="L28" s="257">
        <f>J28/C28</f>
        <v>0.7876824034334764</v>
      </c>
    </row>
    <row r="29" spans="1:12" ht="12.75">
      <c r="A29" s="492" t="s">
        <v>217</v>
      </c>
      <c r="B29" s="67"/>
      <c r="C29" s="68">
        <f>C30+C31+C32</f>
        <v>460200</v>
      </c>
      <c r="D29" s="68">
        <f aca="true" t="shared" si="5" ref="D29:K29">D30+D31+D32</f>
        <v>460200</v>
      </c>
      <c r="E29" s="68">
        <f t="shared" si="5"/>
        <v>0</v>
      </c>
      <c r="F29" s="68">
        <f t="shared" si="5"/>
        <v>0</v>
      </c>
      <c r="G29" s="68">
        <f t="shared" si="5"/>
        <v>0</v>
      </c>
      <c r="H29" s="68">
        <f t="shared" si="5"/>
        <v>306647</v>
      </c>
      <c r="I29" s="68">
        <f t="shared" si="5"/>
        <v>273647</v>
      </c>
      <c r="J29" s="68">
        <f t="shared" si="5"/>
        <v>306647</v>
      </c>
      <c r="K29" s="80">
        <f t="shared" si="5"/>
        <v>0</v>
      </c>
      <c r="L29" s="258">
        <f>J29/C29</f>
        <v>0.6663342025206432</v>
      </c>
    </row>
    <row r="30" spans="1:12" ht="12.75">
      <c r="A30" s="493"/>
      <c r="B30" s="56" t="s">
        <v>21</v>
      </c>
      <c r="C30" s="66">
        <v>442200</v>
      </c>
      <c r="D30" s="66">
        <v>442200</v>
      </c>
      <c r="E30" s="10"/>
      <c r="F30" s="10"/>
      <c r="G30" s="81"/>
      <c r="H30" s="10">
        <v>288655</v>
      </c>
      <c r="I30" s="10">
        <v>255655</v>
      </c>
      <c r="J30" s="10">
        <v>288655</v>
      </c>
      <c r="K30" s="20">
        <f>H30-J30</f>
        <v>0</v>
      </c>
      <c r="L30" s="251">
        <f>J30/C30</f>
        <v>0.6527702397105383</v>
      </c>
    </row>
    <row r="31" spans="1:12" ht="12.75">
      <c r="A31" s="493"/>
      <c r="B31" s="56" t="s">
        <v>22</v>
      </c>
      <c r="C31" s="66">
        <v>18000</v>
      </c>
      <c r="D31" s="10">
        <v>18000</v>
      </c>
      <c r="E31" s="10"/>
      <c r="F31" s="10"/>
      <c r="G31" s="81"/>
      <c r="H31" s="10">
        <v>17992</v>
      </c>
      <c r="I31" s="10">
        <v>17992</v>
      </c>
      <c r="J31" s="10">
        <v>17992</v>
      </c>
      <c r="K31" s="20">
        <f>H31-J31</f>
        <v>0</v>
      </c>
      <c r="L31" s="251">
        <f>J31/C31</f>
        <v>0.9995555555555555</v>
      </c>
    </row>
    <row r="32" spans="1:12" ht="18" customHeight="1">
      <c r="A32" s="493"/>
      <c r="B32" s="56" t="s">
        <v>23</v>
      </c>
      <c r="C32" s="66"/>
      <c r="D32" s="10"/>
      <c r="E32" s="10"/>
      <c r="F32" s="10"/>
      <c r="G32" s="81"/>
      <c r="H32" s="10"/>
      <c r="I32" s="10"/>
      <c r="J32" s="10"/>
      <c r="K32" s="20">
        <f>H32-J32</f>
        <v>0</v>
      </c>
      <c r="L32" s="251"/>
    </row>
    <row r="33" spans="1:12" ht="12.75" hidden="1">
      <c r="A33" s="494"/>
      <c r="B33" s="56"/>
      <c r="C33" s="66"/>
      <c r="D33" s="10"/>
      <c r="E33" s="10"/>
      <c r="F33" s="10"/>
      <c r="G33" s="81"/>
      <c r="H33" s="10"/>
      <c r="I33" s="10"/>
      <c r="J33" s="10"/>
      <c r="K33" s="20">
        <f>H33-J33</f>
        <v>0</v>
      </c>
      <c r="L33" s="251">
        <f>I33-K33</f>
        <v>0</v>
      </c>
    </row>
    <row r="34" spans="1:12" ht="13.5" thickBot="1">
      <c r="A34" s="4" t="s">
        <v>180</v>
      </c>
      <c r="B34" s="44"/>
      <c r="C34" s="65"/>
      <c r="D34" s="65"/>
      <c r="E34" s="65"/>
      <c r="F34" s="65"/>
      <c r="G34" s="93"/>
      <c r="H34" s="65"/>
      <c r="I34" s="65"/>
      <c r="J34" s="65"/>
      <c r="K34" s="94"/>
      <c r="L34" s="254"/>
    </row>
    <row r="35" spans="1:12" ht="13.5" thickBot="1">
      <c r="A35" s="479" t="s">
        <v>122</v>
      </c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1"/>
    </row>
    <row r="36" spans="1:12" ht="12.75">
      <c r="A36" s="100"/>
      <c r="B36" s="71" t="s">
        <v>161</v>
      </c>
      <c r="C36" s="98"/>
      <c r="D36" s="98"/>
      <c r="E36" s="98"/>
      <c r="F36" s="98"/>
      <c r="G36" s="101"/>
      <c r="H36" s="98"/>
      <c r="I36" s="98"/>
      <c r="J36" s="98"/>
      <c r="K36" s="99"/>
      <c r="L36" s="99"/>
    </row>
    <row r="37" spans="1:12" ht="12.75">
      <c r="A37" s="6" t="s">
        <v>17</v>
      </c>
      <c r="B37" s="54" t="s">
        <v>21</v>
      </c>
      <c r="C37" s="11">
        <f>C30</f>
        <v>442200</v>
      </c>
      <c r="D37" s="11">
        <f aca="true" t="shared" si="6" ref="D37:K37">D30</f>
        <v>442200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288655</v>
      </c>
      <c r="I37" s="11">
        <f t="shared" si="6"/>
        <v>255655</v>
      </c>
      <c r="J37" s="11">
        <f t="shared" si="6"/>
        <v>288655</v>
      </c>
      <c r="K37" s="61">
        <f t="shared" si="6"/>
        <v>0</v>
      </c>
      <c r="L37" s="257">
        <f>L30</f>
        <v>0.6527702397105383</v>
      </c>
    </row>
    <row r="38" spans="1:12" ht="12.75">
      <c r="A38" s="6" t="s">
        <v>19</v>
      </c>
      <c r="B38" s="54" t="s">
        <v>22</v>
      </c>
      <c r="C38" s="11">
        <f>C31</f>
        <v>18000</v>
      </c>
      <c r="D38" s="11">
        <f aca="true" t="shared" si="7" ref="D38:K38">D31</f>
        <v>18000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17992</v>
      </c>
      <c r="I38" s="11">
        <f t="shared" si="7"/>
        <v>17992</v>
      </c>
      <c r="J38" s="11">
        <f t="shared" si="7"/>
        <v>17992</v>
      </c>
      <c r="K38" s="61">
        <f t="shared" si="7"/>
        <v>0</v>
      </c>
      <c r="L38" s="257">
        <f>L31</f>
        <v>0.9995555555555555</v>
      </c>
    </row>
    <row r="39" spans="1:12" ht="13.5" thickBot="1">
      <c r="A39" s="5" t="s">
        <v>20</v>
      </c>
      <c r="B39" s="320" t="s">
        <v>23</v>
      </c>
      <c r="C39" s="15">
        <f>C28+C32</f>
        <v>233000</v>
      </c>
      <c r="D39" s="15">
        <f aca="true" t="shared" si="8" ref="D39:K39">D28+D32</f>
        <v>233000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227405</v>
      </c>
      <c r="I39" s="15">
        <f t="shared" si="8"/>
        <v>227405</v>
      </c>
      <c r="J39" s="15">
        <f t="shared" si="8"/>
        <v>183530</v>
      </c>
      <c r="K39" s="62">
        <f t="shared" si="8"/>
        <v>43875</v>
      </c>
      <c r="L39" s="261">
        <f>L28+L32</f>
        <v>0.7876824034334764</v>
      </c>
    </row>
    <row r="40" spans="1:12" ht="24.75" customHeight="1" thickBot="1">
      <c r="A40" s="50" t="s">
        <v>127</v>
      </c>
      <c r="B40" s="51" t="s">
        <v>161</v>
      </c>
      <c r="C40" s="52">
        <f>C43+C46</f>
        <v>25324055</v>
      </c>
      <c r="D40" s="52">
        <f>D43+D46</f>
        <v>21235528</v>
      </c>
      <c r="E40" s="52">
        <f>E43+E46</f>
        <v>0</v>
      </c>
      <c r="F40" s="52">
        <f>F43+F46</f>
        <v>0</v>
      </c>
      <c r="G40" s="52">
        <f>G43+G46</f>
        <v>0</v>
      </c>
      <c r="H40" s="52">
        <f>H43+H46+H53</f>
        <v>8920949</v>
      </c>
      <c r="I40" s="52">
        <f>I43+I46+I53</f>
        <v>8820949</v>
      </c>
      <c r="J40" s="52">
        <f>J43+J46+J53</f>
        <v>7034183</v>
      </c>
      <c r="K40" s="52">
        <f>K43+K46+K53</f>
        <v>1786766</v>
      </c>
      <c r="L40" s="432">
        <f>L43+L46+L53</f>
        <v>0.5451845096498658</v>
      </c>
    </row>
    <row r="41" spans="1:12" ht="12.75">
      <c r="A41" s="315" t="s">
        <v>176</v>
      </c>
      <c r="B41" s="79"/>
      <c r="C41" s="66">
        <f>D41+E41+F41+G41</f>
        <v>0</v>
      </c>
      <c r="D41" s="66"/>
      <c r="E41" s="66"/>
      <c r="F41" s="66"/>
      <c r="G41" s="316"/>
      <c r="H41" s="66"/>
      <c r="I41" s="66"/>
      <c r="J41" s="66"/>
      <c r="K41" s="317">
        <f>H41-J41</f>
        <v>0</v>
      </c>
      <c r="L41" s="317">
        <f>I41-K41</f>
        <v>0</v>
      </c>
    </row>
    <row r="42" spans="1:12" ht="12.75">
      <c r="A42" s="1" t="s">
        <v>177</v>
      </c>
      <c r="B42" s="73"/>
      <c r="C42" s="10">
        <f>D42+E42+F42+G42</f>
        <v>0</v>
      </c>
      <c r="D42" s="10"/>
      <c r="E42" s="10"/>
      <c r="F42" s="10"/>
      <c r="G42" s="81"/>
      <c r="H42" s="10"/>
      <c r="I42" s="10"/>
      <c r="J42" s="10"/>
      <c r="K42" s="20">
        <f>H42-J42</f>
        <v>0</v>
      </c>
      <c r="L42" s="20">
        <f>I42-K42</f>
        <v>0</v>
      </c>
    </row>
    <row r="43" spans="1:12" ht="12.75">
      <c r="A43" s="505" t="s">
        <v>233</v>
      </c>
      <c r="B43" s="46" t="s">
        <v>161</v>
      </c>
      <c r="C43" s="11">
        <v>11728206</v>
      </c>
      <c r="D43" s="11">
        <f>11728206-813527</f>
        <v>10914679</v>
      </c>
      <c r="E43" s="11">
        <f>E44+E45</f>
        <v>0</v>
      </c>
      <c r="F43" s="11">
        <f>F44+F45</f>
        <v>0</v>
      </c>
      <c r="G43" s="11">
        <f>G44+G45</f>
        <v>0</v>
      </c>
      <c r="H43" s="11">
        <v>3824076</v>
      </c>
      <c r="I43" s="11">
        <v>3724076</v>
      </c>
      <c r="J43" s="11">
        <v>2134265</v>
      </c>
      <c r="K43" s="11">
        <f>I43-J43</f>
        <v>1589811</v>
      </c>
      <c r="L43" s="257">
        <f>J43/C43</f>
        <v>0.18197710715517787</v>
      </c>
    </row>
    <row r="44" spans="1:12" ht="24.75" customHeight="1" hidden="1">
      <c r="A44" s="506"/>
      <c r="B44" s="38" t="s">
        <v>29</v>
      </c>
      <c r="C44" s="10">
        <v>2345200</v>
      </c>
      <c r="D44" s="10">
        <v>536850</v>
      </c>
      <c r="E44" s="10"/>
      <c r="F44" s="10"/>
      <c r="G44" s="81"/>
      <c r="H44" s="10"/>
      <c r="I44" s="10"/>
      <c r="J44" s="10"/>
      <c r="K44" s="20">
        <f>H44-J44</f>
        <v>0</v>
      </c>
      <c r="L44" s="251">
        <f>J44/C44</f>
        <v>0</v>
      </c>
    </row>
    <row r="45" spans="1:12" ht="24.75" customHeight="1" hidden="1">
      <c r="A45" s="507"/>
      <c r="B45" s="38" t="s">
        <v>30</v>
      </c>
      <c r="C45" s="10">
        <v>3457105</v>
      </c>
      <c r="D45" s="10">
        <v>955000</v>
      </c>
      <c r="E45" s="10"/>
      <c r="F45" s="10"/>
      <c r="G45" s="81"/>
      <c r="H45" s="10"/>
      <c r="I45" s="10"/>
      <c r="J45" s="10"/>
      <c r="K45" s="20"/>
      <c r="L45" s="20"/>
    </row>
    <row r="46" spans="1:12" ht="12.75">
      <c r="A46" s="487" t="s">
        <v>218</v>
      </c>
      <c r="B46" s="72" t="s">
        <v>161</v>
      </c>
      <c r="C46" s="49">
        <v>13595849</v>
      </c>
      <c r="D46" s="49">
        <f>13595849-3275000</f>
        <v>10320849</v>
      </c>
      <c r="E46" s="49">
        <f>E48+E50+E51+E52+E49+E47</f>
        <v>0</v>
      </c>
      <c r="F46" s="49">
        <f>F48+F50+F51+F52+F49+F47</f>
        <v>0</v>
      </c>
      <c r="G46" s="49">
        <f>G48+G50+G51+G52+G49+G47</f>
        <v>0</v>
      </c>
      <c r="H46" s="49">
        <v>5135068</v>
      </c>
      <c r="I46" s="49">
        <v>5135068</v>
      </c>
      <c r="J46" s="49">
        <v>4938113</v>
      </c>
      <c r="K46" s="49">
        <f>I46-J46</f>
        <v>196955</v>
      </c>
      <c r="L46" s="417">
        <f>J46/C46</f>
        <v>0.3632074024946879</v>
      </c>
    </row>
    <row r="47" spans="1:12" ht="12.75" hidden="1">
      <c r="A47" s="488"/>
      <c r="B47" s="90" t="s">
        <v>263</v>
      </c>
      <c r="C47" s="34">
        <v>81800</v>
      </c>
      <c r="D47" s="34">
        <v>81800</v>
      </c>
      <c r="E47" s="34"/>
      <c r="F47" s="34"/>
      <c r="G47" s="91"/>
      <c r="H47" s="34"/>
      <c r="I47" s="34"/>
      <c r="J47" s="34"/>
      <c r="K47" s="85"/>
      <c r="L47" s="274"/>
    </row>
    <row r="48" spans="1:12" ht="12.75" hidden="1">
      <c r="A48" s="488"/>
      <c r="B48" s="90" t="s">
        <v>29</v>
      </c>
      <c r="C48" s="34">
        <v>1619200</v>
      </c>
      <c r="D48" s="34">
        <v>15000</v>
      </c>
      <c r="E48" s="34"/>
      <c r="F48" s="34"/>
      <c r="G48" s="91"/>
      <c r="H48" s="34"/>
      <c r="I48" s="34"/>
      <c r="J48" s="34">
        <v>0</v>
      </c>
      <c r="K48" s="85"/>
      <c r="L48" s="251">
        <f>J48/C48</f>
        <v>0</v>
      </c>
    </row>
    <row r="49" spans="1:12" ht="12.75" hidden="1">
      <c r="A49" s="488"/>
      <c r="B49" s="90" t="s">
        <v>208</v>
      </c>
      <c r="C49" s="34"/>
      <c r="D49" s="34"/>
      <c r="E49" s="34"/>
      <c r="F49" s="34"/>
      <c r="G49" s="91"/>
      <c r="H49" s="34"/>
      <c r="I49" s="34"/>
      <c r="J49" s="34">
        <v>0</v>
      </c>
      <c r="K49" s="85"/>
      <c r="L49" s="251" t="e">
        <f>J49/C49</f>
        <v>#DIV/0!</v>
      </c>
    </row>
    <row r="50" spans="1:12" ht="12.75" hidden="1">
      <c r="A50" s="488"/>
      <c r="B50" s="73" t="s">
        <v>188</v>
      </c>
      <c r="C50" s="10">
        <v>4744000</v>
      </c>
      <c r="D50" s="10">
        <v>704000</v>
      </c>
      <c r="E50" s="10"/>
      <c r="F50" s="10"/>
      <c r="G50" s="81"/>
      <c r="H50" s="10"/>
      <c r="I50" s="10"/>
      <c r="J50" s="10">
        <v>0</v>
      </c>
      <c r="K50" s="20">
        <f>H50-J50</f>
        <v>0</v>
      </c>
      <c r="L50" s="251">
        <f>J50/C50</f>
        <v>0</v>
      </c>
    </row>
    <row r="51" spans="1:12" ht="12.75" hidden="1">
      <c r="A51" s="488"/>
      <c r="B51" s="73" t="s">
        <v>30</v>
      </c>
      <c r="C51" s="10">
        <v>962000</v>
      </c>
      <c r="D51" s="10">
        <v>662000</v>
      </c>
      <c r="E51" s="10"/>
      <c r="F51" s="10"/>
      <c r="G51" s="81"/>
      <c r="H51" s="10">
        <v>0</v>
      </c>
      <c r="I51" s="10">
        <v>0</v>
      </c>
      <c r="J51" s="10">
        <v>0</v>
      </c>
      <c r="K51" s="20"/>
      <c r="L51" s="251">
        <f>J51/C51</f>
        <v>0</v>
      </c>
    </row>
    <row r="52" spans="1:12" ht="12.75" hidden="1">
      <c r="A52" s="489"/>
      <c r="B52" s="73" t="s">
        <v>31</v>
      </c>
      <c r="C52" s="10">
        <v>3590000</v>
      </c>
      <c r="D52" s="10">
        <v>280000</v>
      </c>
      <c r="E52" s="10"/>
      <c r="F52" s="10"/>
      <c r="G52" s="81"/>
      <c r="H52" s="10">
        <v>0</v>
      </c>
      <c r="I52" s="10">
        <v>0</v>
      </c>
      <c r="J52" s="10">
        <v>0</v>
      </c>
      <c r="K52" s="20">
        <f>H52-J52</f>
        <v>0</v>
      </c>
      <c r="L52" s="251">
        <f>J52/C52</f>
        <v>0</v>
      </c>
    </row>
    <row r="53" spans="1:12" ht="13.5" thickBot="1">
      <c r="A53" s="4" t="s">
        <v>180</v>
      </c>
      <c r="B53" s="74"/>
      <c r="C53" s="65"/>
      <c r="D53" s="65"/>
      <c r="E53" s="65"/>
      <c r="F53" s="65"/>
      <c r="G53" s="93"/>
      <c r="H53" s="418">
        <f>I53</f>
        <v>-38195</v>
      </c>
      <c r="I53" s="418">
        <f>J53</f>
        <v>-38195</v>
      </c>
      <c r="J53" s="418">
        <v>-38195</v>
      </c>
      <c r="K53" s="94">
        <f>H53-J53</f>
        <v>0</v>
      </c>
      <c r="L53" s="94"/>
    </row>
    <row r="54" spans="1:12" ht="13.5" thickBot="1">
      <c r="A54" s="479" t="s">
        <v>122</v>
      </c>
      <c r="B54" s="480"/>
      <c r="C54" s="480"/>
      <c r="D54" s="480"/>
      <c r="E54" s="480"/>
      <c r="F54" s="480"/>
      <c r="G54" s="480"/>
      <c r="H54" s="480"/>
      <c r="I54" s="480"/>
      <c r="J54" s="480"/>
      <c r="K54" s="480"/>
      <c r="L54" s="481"/>
    </row>
    <row r="55" spans="1:12" ht="12.75">
      <c r="A55" s="97" t="s">
        <v>264</v>
      </c>
      <c r="B55" s="79" t="s">
        <v>263</v>
      </c>
      <c r="C55" s="98">
        <f>C47</f>
        <v>81800</v>
      </c>
      <c r="D55" s="98">
        <f>D47</f>
        <v>81800</v>
      </c>
      <c r="E55" s="98">
        <f>E47</f>
        <v>0</v>
      </c>
      <c r="F55" s="98">
        <f>F47</f>
        <v>0</v>
      </c>
      <c r="G55" s="98">
        <f>G47</f>
        <v>0</v>
      </c>
      <c r="H55" s="98">
        <v>32020</v>
      </c>
      <c r="I55" s="98">
        <v>32020</v>
      </c>
      <c r="J55" s="98">
        <v>32020</v>
      </c>
      <c r="K55" s="98">
        <f aca="true" t="shared" si="9" ref="K55:K60">I55-J55</f>
        <v>0</v>
      </c>
      <c r="L55" s="433">
        <f>J55/C55</f>
        <v>0.3914425427872861</v>
      </c>
    </row>
    <row r="56" spans="1:12" ht="12.75">
      <c r="A56" s="97" t="s">
        <v>265</v>
      </c>
      <c r="B56" s="79" t="s">
        <v>29</v>
      </c>
      <c r="C56" s="98">
        <v>4850493</v>
      </c>
      <c r="D56" s="98">
        <v>4850493</v>
      </c>
      <c r="E56" s="98">
        <f>E44+E48</f>
        <v>0</v>
      </c>
      <c r="F56" s="98">
        <f>F44+F48</f>
        <v>0</v>
      </c>
      <c r="G56" s="98">
        <f>G44+G48</f>
        <v>0</v>
      </c>
      <c r="H56" s="98">
        <v>1551742</v>
      </c>
      <c r="I56" s="98">
        <v>1551742</v>
      </c>
      <c r="J56" s="98">
        <v>1117652</v>
      </c>
      <c r="K56" s="98">
        <f t="shared" si="9"/>
        <v>434090</v>
      </c>
      <c r="L56" s="433">
        <f>J56/C56</f>
        <v>0.23042028923657865</v>
      </c>
    </row>
    <row r="57" spans="1:12" ht="12.75">
      <c r="A57" s="97" t="s">
        <v>266</v>
      </c>
      <c r="B57" s="79" t="s">
        <v>208</v>
      </c>
      <c r="C57" s="98">
        <f>C49</f>
        <v>0</v>
      </c>
      <c r="D57" s="98">
        <f>D49</f>
        <v>0</v>
      </c>
      <c r="E57" s="98">
        <f>E49</f>
        <v>0</v>
      </c>
      <c r="F57" s="98">
        <f>F49</f>
        <v>0</v>
      </c>
      <c r="G57" s="98">
        <f>G49</f>
        <v>0</v>
      </c>
      <c r="H57" s="98"/>
      <c r="I57" s="98"/>
      <c r="J57" s="98"/>
      <c r="K57" s="98">
        <f t="shared" si="9"/>
        <v>0</v>
      </c>
      <c r="L57" s="433"/>
    </row>
    <row r="58" spans="1:12" ht="12.75">
      <c r="A58" s="97" t="s">
        <v>267</v>
      </c>
      <c r="B58" s="73" t="s">
        <v>188</v>
      </c>
      <c r="C58" s="11">
        <v>5705649</v>
      </c>
      <c r="D58" s="11">
        <v>4835649</v>
      </c>
      <c r="E58" s="11">
        <f>E50</f>
        <v>0</v>
      </c>
      <c r="F58" s="11">
        <f>F50</f>
        <v>0</v>
      </c>
      <c r="G58" s="11">
        <f>G50</f>
        <v>0</v>
      </c>
      <c r="H58" s="11">
        <v>1674185</v>
      </c>
      <c r="I58" s="11">
        <v>1674185</v>
      </c>
      <c r="J58" s="11">
        <v>1674185</v>
      </c>
      <c r="K58" s="98">
        <f t="shared" si="9"/>
        <v>0</v>
      </c>
      <c r="L58" s="433">
        <f>J58/C58</f>
        <v>0.29342586618980593</v>
      </c>
    </row>
    <row r="59" spans="1:12" ht="12.75">
      <c r="A59" s="97" t="s">
        <v>268</v>
      </c>
      <c r="B59" s="73" t="s">
        <v>30</v>
      </c>
      <c r="C59" s="11">
        <v>8541113</v>
      </c>
      <c r="D59" s="11">
        <v>7727586</v>
      </c>
      <c r="E59" s="11">
        <f>E51+E45</f>
        <v>0</v>
      </c>
      <c r="F59" s="11">
        <f>F51+F45</f>
        <v>0</v>
      </c>
      <c r="G59" s="11">
        <f>G51+G45</f>
        <v>0</v>
      </c>
      <c r="H59" s="11">
        <v>2447528</v>
      </c>
      <c r="I59" s="11">
        <v>2447528</v>
      </c>
      <c r="J59" s="11">
        <v>1171761</v>
      </c>
      <c r="K59" s="98">
        <f t="shared" si="9"/>
        <v>1275767</v>
      </c>
      <c r="L59" s="433">
        <f>J59/C59</f>
        <v>0.13719066824194925</v>
      </c>
    </row>
    <row r="60" spans="1:12" ht="13.5" thickBot="1">
      <c r="A60" s="14" t="s">
        <v>269</v>
      </c>
      <c r="B60" s="74" t="s">
        <v>31</v>
      </c>
      <c r="C60" s="15">
        <v>6145000</v>
      </c>
      <c r="D60" s="15">
        <v>3740000</v>
      </c>
      <c r="E60" s="15">
        <f>E52</f>
        <v>0</v>
      </c>
      <c r="F60" s="15">
        <f>F52</f>
        <v>0</v>
      </c>
      <c r="G60" s="15">
        <f>G52</f>
        <v>0</v>
      </c>
      <c r="H60" s="15">
        <v>3215474</v>
      </c>
      <c r="I60" s="15">
        <v>3215474</v>
      </c>
      <c r="J60" s="15">
        <v>3038565</v>
      </c>
      <c r="K60" s="98">
        <f t="shared" si="9"/>
        <v>176909</v>
      </c>
      <c r="L60" s="433">
        <f>J60/C60</f>
        <v>0.49447762408462165</v>
      </c>
    </row>
    <row r="61" spans="1:12" s="32" customFormat="1" ht="24.75" customHeight="1" thickBot="1">
      <c r="A61" s="50" t="s">
        <v>128</v>
      </c>
      <c r="B61" s="51" t="s">
        <v>161</v>
      </c>
      <c r="C61" s="52">
        <f>C62+C63+C64+C65+C66</f>
        <v>852000</v>
      </c>
      <c r="D61" s="52">
        <f aca="true" t="shared" si="10" ref="D61:K61">D62+D63+D64+D65+D66</f>
        <v>852000</v>
      </c>
      <c r="E61" s="52">
        <f t="shared" si="10"/>
        <v>0</v>
      </c>
      <c r="F61" s="52">
        <f t="shared" si="10"/>
        <v>0</v>
      </c>
      <c r="G61" s="52">
        <f t="shared" si="10"/>
        <v>0</v>
      </c>
      <c r="H61" s="52">
        <f t="shared" si="10"/>
        <v>392000</v>
      </c>
      <c r="I61" s="52">
        <f t="shared" si="10"/>
        <v>392000</v>
      </c>
      <c r="J61" s="52">
        <f t="shared" si="10"/>
        <v>392000</v>
      </c>
      <c r="K61" s="53">
        <f t="shared" si="10"/>
        <v>0</v>
      </c>
      <c r="L61" s="319">
        <f>L62+L63+L64+L65+L66</f>
        <v>0.460093896713615</v>
      </c>
    </row>
    <row r="62" spans="1:12" ht="12.75">
      <c r="A62" s="514" t="s">
        <v>176</v>
      </c>
      <c r="B62" s="350" t="s">
        <v>28</v>
      </c>
      <c r="C62" s="351">
        <v>852000</v>
      </c>
      <c r="D62" s="351">
        <v>852000</v>
      </c>
      <c r="E62" s="351"/>
      <c r="F62" s="351"/>
      <c r="G62" s="352"/>
      <c r="H62" s="351">
        <v>392000</v>
      </c>
      <c r="I62" s="351">
        <v>392000</v>
      </c>
      <c r="J62" s="351">
        <v>392000</v>
      </c>
      <c r="K62" s="353">
        <f aca="true" t="shared" si="11" ref="K62:L66">H62-J62</f>
        <v>0</v>
      </c>
      <c r="L62" s="388">
        <f>J62/C62</f>
        <v>0.460093896713615</v>
      </c>
    </row>
    <row r="63" spans="1:12" ht="12.75" hidden="1">
      <c r="A63" s="515" t="s">
        <v>177</v>
      </c>
      <c r="B63" s="56"/>
      <c r="C63" s="10">
        <f>D63+E63+F63+G63</f>
        <v>0</v>
      </c>
      <c r="D63" s="10"/>
      <c r="E63" s="10"/>
      <c r="F63" s="10"/>
      <c r="G63" s="81"/>
      <c r="H63" s="10"/>
      <c r="I63" s="10"/>
      <c r="J63" s="10"/>
      <c r="K63" s="20">
        <f t="shared" si="11"/>
        <v>0</v>
      </c>
      <c r="L63" s="20">
        <f t="shared" si="11"/>
        <v>0</v>
      </c>
    </row>
    <row r="64" spans="1:12" ht="12.75" hidden="1">
      <c r="A64" s="1" t="s">
        <v>178</v>
      </c>
      <c r="B64" s="56"/>
      <c r="C64" s="10">
        <f>D64+E64+F64+G64</f>
        <v>0</v>
      </c>
      <c r="D64" s="10"/>
      <c r="E64" s="10"/>
      <c r="F64" s="10"/>
      <c r="G64" s="81"/>
      <c r="H64" s="10"/>
      <c r="I64" s="10"/>
      <c r="J64" s="10"/>
      <c r="K64" s="20">
        <f t="shared" si="11"/>
        <v>0</v>
      </c>
      <c r="L64" s="20">
        <f t="shared" si="11"/>
        <v>0</v>
      </c>
    </row>
    <row r="65" spans="1:12" ht="12.75">
      <c r="A65" s="1" t="s">
        <v>179</v>
      </c>
      <c r="B65" s="56" t="s">
        <v>254</v>
      </c>
      <c r="C65" s="10"/>
      <c r="D65" s="10"/>
      <c r="E65" s="10"/>
      <c r="F65" s="10"/>
      <c r="G65" s="81"/>
      <c r="H65" s="10"/>
      <c r="I65" s="10"/>
      <c r="J65" s="10"/>
      <c r="K65" s="20">
        <f t="shared" si="11"/>
        <v>0</v>
      </c>
      <c r="L65" s="20">
        <f t="shared" si="11"/>
        <v>0</v>
      </c>
    </row>
    <row r="66" spans="1:12" ht="12.75">
      <c r="A66" s="1" t="s">
        <v>180</v>
      </c>
      <c r="B66" s="56"/>
      <c r="C66" s="10"/>
      <c r="D66" s="10"/>
      <c r="E66" s="10"/>
      <c r="F66" s="10"/>
      <c r="G66" s="81"/>
      <c r="H66" s="10"/>
      <c r="I66" s="10"/>
      <c r="J66" s="10"/>
      <c r="K66" s="20">
        <f t="shared" si="11"/>
        <v>0</v>
      </c>
      <c r="L66" s="20">
        <f t="shared" si="11"/>
        <v>0</v>
      </c>
    </row>
    <row r="67" spans="1:12" ht="12.75">
      <c r="A67" s="508" t="s">
        <v>122</v>
      </c>
      <c r="B67" s="509"/>
      <c r="C67" s="509"/>
      <c r="D67" s="509"/>
      <c r="E67" s="509"/>
      <c r="F67" s="509"/>
      <c r="G67" s="509"/>
      <c r="H67" s="509"/>
      <c r="I67" s="509"/>
      <c r="J67" s="509"/>
      <c r="K67" s="510"/>
      <c r="L67" s="348"/>
    </row>
    <row r="68" spans="1:12" ht="12.75">
      <c r="A68" s="14" t="s">
        <v>255</v>
      </c>
      <c r="B68" s="320" t="s">
        <v>254</v>
      </c>
      <c r="C68" s="15">
        <f>C65</f>
        <v>0</v>
      </c>
      <c r="D68" s="15">
        <f aca="true" t="shared" si="12" ref="D68:L68">D65</f>
        <v>0</v>
      </c>
      <c r="E68" s="15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0</v>
      </c>
      <c r="L68" s="15">
        <f t="shared" si="12"/>
        <v>0</v>
      </c>
    </row>
    <row r="69" spans="1:12" ht="13.5" thickBot="1">
      <c r="A69" s="14" t="s">
        <v>27</v>
      </c>
      <c r="B69" s="320" t="s">
        <v>28</v>
      </c>
      <c r="C69" s="15">
        <f>C62</f>
        <v>852000</v>
      </c>
      <c r="D69" s="15">
        <f aca="true" t="shared" si="13" ref="D69:K69">D62</f>
        <v>852000</v>
      </c>
      <c r="E69" s="15">
        <f t="shared" si="13"/>
        <v>0</v>
      </c>
      <c r="F69" s="15">
        <f t="shared" si="13"/>
        <v>0</v>
      </c>
      <c r="G69" s="15">
        <f t="shared" si="13"/>
        <v>0</v>
      </c>
      <c r="H69" s="15">
        <f t="shared" si="13"/>
        <v>392000</v>
      </c>
      <c r="I69" s="15">
        <f t="shared" si="13"/>
        <v>392000</v>
      </c>
      <c r="J69" s="15">
        <f t="shared" si="13"/>
        <v>392000</v>
      </c>
      <c r="K69" s="15">
        <f t="shared" si="13"/>
        <v>0</v>
      </c>
      <c r="L69" s="257">
        <f>L62+L65</f>
        <v>0.460093896713615</v>
      </c>
    </row>
    <row r="70" spans="1:12" ht="24.75" customHeight="1" thickBot="1">
      <c r="A70" s="50" t="s">
        <v>129</v>
      </c>
      <c r="B70" s="389" t="s">
        <v>161</v>
      </c>
      <c r="C70" s="390">
        <f>C76+C79+C71</f>
        <v>25581357</v>
      </c>
      <c r="D70" s="390">
        <f aca="true" t="shared" si="14" ref="D70:I70">D76+D79+D71</f>
        <v>23719757</v>
      </c>
      <c r="E70" s="390">
        <f t="shared" si="14"/>
        <v>0</v>
      </c>
      <c r="F70" s="390">
        <f t="shared" si="14"/>
        <v>0</v>
      </c>
      <c r="G70" s="390">
        <f t="shared" si="14"/>
        <v>0</v>
      </c>
      <c r="H70" s="390">
        <f t="shared" si="14"/>
        <v>21673786</v>
      </c>
      <c r="I70" s="390">
        <f t="shared" si="14"/>
        <v>21673786</v>
      </c>
      <c r="J70" s="390">
        <f>J76+J79+J71</f>
        <v>5716910</v>
      </c>
      <c r="K70" s="390">
        <f>K76+K79+K71</f>
        <v>15956876</v>
      </c>
      <c r="L70" s="393">
        <f>L76+L79+L71</f>
        <v>1.1416091375881199</v>
      </c>
    </row>
    <row r="71" spans="1:12" ht="14.25" customHeight="1">
      <c r="A71" s="516" t="s">
        <v>262</v>
      </c>
      <c r="B71" s="391" t="s">
        <v>280</v>
      </c>
      <c r="C71" s="392">
        <f>C72+C73</f>
        <v>209000</v>
      </c>
      <c r="D71" s="392">
        <f aca="true" t="shared" si="15" ref="D71:K71">D72+D73</f>
        <v>209000</v>
      </c>
      <c r="E71" s="392">
        <f t="shared" si="15"/>
        <v>0</v>
      </c>
      <c r="F71" s="392">
        <f t="shared" si="15"/>
        <v>0</v>
      </c>
      <c r="G71" s="392">
        <f t="shared" si="15"/>
        <v>0</v>
      </c>
      <c r="H71" s="392">
        <f t="shared" si="15"/>
        <v>149000</v>
      </c>
      <c r="I71" s="392">
        <f t="shared" si="15"/>
        <v>149000</v>
      </c>
      <c r="J71" s="427">
        <f t="shared" si="15"/>
        <v>149000</v>
      </c>
      <c r="K71" s="430">
        <f t="shared" si="15"/>
        <v>0</v>
      </c>
      <c r="L71" s="428">
        <f>J71/C71</f>
        <v>0.7129186602870813</v>
      </c>
    </row>
    <row r="72" spans="1:12" ht="12.75">
      <c r="A72" s="517"/>
      <c r="B72" s="79" t="s">
        <v>36</v>
      </c>
      <c r="C72" s="66">
        <v>149000</v>
      </c>
      <c r="D72" s="66">
        <v>149000</v>
      </c>
      <c r="E72" s="66"/>
      <c r="F72" s="66"/>
      <c r="G72" s="316"/>
      <c r="H72" s="66">
        <v>149000</v>
      </c>
      <c r="I72" s="66">
        <v>149000</v>
      </c>
      <c r="J72" s="316">
        <v>149000</v>
      </c>
      <c r="K72" s="10">
        <f>H72-J72</f>
        <v>0</v>
      </c>
      <c r="L72" s="429">
        <f>J72/D72</f>
        <v>1</v>
      </c>
    </row>
    <row r="73" spans="1:12" ht="12.75">
      <c r="A73" s="518"/>
      <c r="B73" s="79" t="s">
        <v>35</v>
      </c>
      <c r="C73" s="66">
        <v>60000</v>
      </c>
      <c r="D73" s="66">
        <v>60000</v>
      </c>
      <c r="E73" s="66"/>
      <c r="F73" s="66"/>
      <c r="G73" s="316"/>
      <c r="H73" s="66"/>
      <c r="I73" s="66"/>
      <c r="J73" s="66"/>
      <c r="K73" s="317"/>
      <c r="L73" s="318">
        <f>J73/D73</f>
        <v>0</v>
      </c>
    </row>
    <row r="74" spans="1:12" ht="12.75">
      <c r="A74" s="1" t="s">
        <v>183</v>
      </c>
      <c r="B74" s="73"/>
      <c r="C74" s="10">
        <f>D74+E74+F74+G74</f>
        <v>0</v>
      </c>
      <c r="D74" s="10"/>
      <c r="E74" s="10"/>
      <c r="F74" s="10"/>
      <c r="G74" s="81"/>
      <c r="H74" s="10"/>
      <c r="I74" s="10"/>
      <c r="J74" s="10"/>
      <c r="K74" s="20">
        <f>H74-J74</f>
        <v>0</v>
      </c>
      <c r="L74" s="251"/>
    </row>
    <row r="75" spans="1:12" ht="12.75" hidden="1">
      <c r="A75" s="1"/>
      <c r="B75" s="73"/>
      <c r="C75" s="10"/>
      <c r="D75" s="10"/>
      <c r="E75" s="10"/>
      <c r="F75" s="10"/>
      <c r="G75" s="81"/>
      <c r="H75" s="10"/>
      <c r="I75" s="10"/>
      <c r="J75" s="10"/>
      <c r="K75" s="20"/>
      <c r="L75" s="274"/>
    </row>
    <row r="76" spans="1:12" ht="12.75">
      <c r="A76" s="505" t="s">
        <v>249</v>
      </c>
      <c r="B76" s="265" t="s">
        <v>161</v>
      </c>
      <c r="C76" s="266">
        <f>C77+C78</f>
        <v>24307157</v>
      </c>
      <c r="D76" s="266">
        <f aca="true" t="shared" si="16" ref="D76:J76">D77+D78</f>
        <v>22445557</v>
      </c>
      <c r="E76" s="266">
        <f t="shared" si="16"/>
        <v>0</v>
      </c>
      <c r="F76" s="266">
        <f t="shared" si="16"/>
        <v>0</v>
      </c>
      <c r="G76" s="266">
        <f t="shared" si="16"/>
        <v>0</v>
      </c>
      <c r="H76" s="266">
        <f t="shared" si="16"/>
        <v>20851472</v>
      </c>
      <c r="I76" s="266">
        <f t="shared" si="16"/>
        <v>20851472</v>
      </c>
      <c r="J76" s="266">
        <f t="shared" si="16"/>
        <v>5345523</v>
      </c>
      <c r="K76" s="266">
        <f>K77+K78</f>
        <v>15505949</v>
      </c>
      <c r="L76" s="273">
        <f>J76/C76</f>
        <v>0.21991559934384758</v>
      </c>
    </row>
    <row r="77" spans="1:12" ht="12.75">
      <c r="A77" s="506"/>
      <c r="B77" s="90" t="s">
        <v>36</v>
      </c>
      <c r="C77" s="34">
        <v>5814478</v>
      </c>
      <c r="D77" s="34">
        <f>5814478-1861600</f>
        <v>3952878</v>
      </c>
      <c r="E77" s="34"/>
      <c r="F77" s="34"/>
      <c r="G77" s="91"/>
      <c r="H77" s="34">
        <v>4854497</v>
      </c>
      <c r="I77" s="34">
        <v>4854497</v>
      </c>
      <c r="J77" s="34">
        <f>409121+198727</f>
        <v>607848</v>
      </c>
      <c r="K77" s="85">
        <f>H77-J77</f>
        <v>4246649</v>
      </c>
      <c r="L77" s="274">
        <f>J77/C77</f>
        <v>0.10454042478103795</v>
      </c>
    </row>
    <row r="78" spans="1:12" ht="12.75">
      <c r="A78" s="507"/>
      <c r="B78" s="90" t="s">
        <v>61</v>
      </c>
      <c r="C78" s="34">
        <v>18492679</v>
      </c>
      <c r="D78" s="34">
        <f>18492679</f>
        <v>18492679</v>
      </c>
      <c r="E78" s="34"/>
      <c r="F78" s="34"/>
      <c r="G78" s="91"/>
      <c r="H78" s="34">
        <v>15996975</v>
      </c>
      <c r="I78" s="34">
        <v>15996975</v>
      </c>
      <c r="J78" s="34">
        <f>3709212+1028463</f>
        <v>4737675</v>
      </c>
      <c r="K78" s="85">
        <f>H78-J78</f>
        <v>11259300</v>
      </c>
      <c r="L78" s="274">
        <f>J78/C78</f>
        <v>0.2561919233011074</v>
      </c>
    </row>
    <row r="79" spans="1:12" ht="12.75">
      <c r="A79" s="511" t="s">
        <v>252</v>
      </c>
      <c r="B79" s="72"/>
      <c r="C79" s="49">
        <f>C80+C81+C82</f>
        <v>1065200</v>
      </c>
      <c r="D79" s="49">
        <f aca="true" t="shared" si="17" ref="D79:K79">D80+D81+D82</f>
        <v>1065200</v>
      </c>
      <c r="E79" s="49">
        <f t="shared" si="17"/>
        <v>0</v>
      </c>
      <c r="F79" s="49">
        <f t="shared" si="17"/>
        <v>0</v>
      </c>
      <c r="G79" s="49">
        <f t="shared" si="17"/>
        <v>0</v>
      </c>
      <c r="H79" s="49">
        <f t="shared" si="17"/>
        <v>673314</v>
      </c>
      <c r="I79" s="49">
        <f t="shared" si="17"/>
        <v>673314</v>
      </c>
      <c r="J79" s="49">
        <f t="shared" si="17"/>
        <v>222387</v>
      </c>
      <c r="K79" s="49">
        <f t="shared" si="17"/>
        <v>450927</v>
      </c>
      <c r="L79" s="253">
        <f>J79/C79</f>
        <v>0.20877487795719113</v>
      </c>
    </row>
    <row r="80" spans="1:12" ht="12.75">
      <c r="A80" s="512"/>
      <c r="B80" s="73" t="s">
        <v>35</v>
      </c>
      <c r="C80" s="10">
        <v>0</v>
      </c>
      <c r="D80" s="10"/>
      <c r="E80" s="10"/>
      <c r="F80" s="10"/>
      <c r="G80" s="81"/>
      <c r="H80" s="10"/>
      <c r="I80" s="10"/>
      <c r="J80" s="10"/>
      <c r="K80" s="20">
        <f>H80-J80</f>
        <v>0</v>
      </c>
      <c r="L80" s="251"/>
    </row>
    <row r="81" spans="1:12" ht="12.75">
      <c r="A81" s="512"/>
      <c r="B81" s="73" t="s">
        <v>36</v>
      </c>
      <c r="C81" s="10">
        <v>0</v>
      </c>
      <c r="D81" s="10">
        <v>0</v>
      </c>
      <c r="E81" s="10"/>
      <c r="F81" s="10"/>
      <c r="G81" s="81"/>
      <c r="H81" s="10"/>
      <c r="I81" s="10"/>
      <c r="J81" s="10"/>
      <c r="K81" s="20">
        <f>H81-J81</f>
        <v>0</v>
      </c>
      <c r="L81" s="251"/>
    </row>
    <row r="82" spans="1:12" ht="12.75">
      <c r="A82" s="513"/>
      <c r="B82" s="73" t="s">
        <v>61</v>
      </c>
      <c r="C82" s="10">
        <v>1065200</v>
      </c>
      <c r="D82" s="10">
        <v>1065200</v>
      </c>
      <c r="E82" s="10"/>
      <c r="F82" s="10"/>
      <c r="G82" s="81"/>
      <c r="H82" s="10">
        <v>673314</v>
      </c>
      <c r="I82" s="10">
        <v>673314</v>
      </c>
      <c r="J82" s="10">
        <v>222387</v>
      </c>
      <c r="K82" s="20">
        <f>H82-J82</f>
        <v>450927</v>
      </c>
      <c r="L82" s="251">
        <f>J82/C82</f>
        <v>0.20877487795719113</v>
      </c>
    </row>
    <row r="83" spans="1:12" ht="13.5" thickBot="1">
      <c r="A83" s="4" t="s">
        <v>185</v>
      </c>
      <c r="B83" s="74"/>
      <c r="C83" s="65"/>
      <c r="D83" s="65"/>
      <c r="E83" s="65"/>
      <c r="F83" s="65"/>
      <c r="G83" s="93"/>
      <c r="H83" s="65"/>
      <c r="I83" s="65"/>
      <c r="J83" s="65"/>
      <c r="K83" s="94">
        <f>H83-J83</f>
        <v>0</v>
      </c>
      <c r="L83" s="254"/>
    </row>
    <row r="84" spans="1:12" ht="13.5" thickBot="1">
      <c r="A84" s="482" t="s">
        <v>122</v>
      </c>
      <c r="B84" s="483"/>
      <c r="C84" s="483"/>
      <c r="D84" s="483"/>
      <c r="E84" s="483"/>
      <c r="F84" s="483"/>
      <c r="G84" s="483"/>
      <c r="H84" s="483"/>
      <c r="I84" s="483"/>
      <c r="J84" s="483"/>
      <c r="K84" s="483"/>
      <c r="L84" s="484"/>
    </row>
    <row r="85" spans="1:12" ht="12.75">
      <c r="A85" s="240" t="s">
        <v>39</v>
      </c>
      <c r="B85" s="241" t="s">
        <v>36</v>
      </c>
      <c r="C85" s="98">
        <f>C77+C72</f>
        <v>5963478</v>
      </c>
      <c r="D85" s="98">
        <f aca="true" t="shared" si="18" ref="D85:K85">D77+D72</f>
        <v>4101878</v>
      </c>
      <c r="E85" s="98">
        <f t="shared" si="18"/>
        <v>0</v>
      </c>
      <c r="F85" s="98">
        <f t="shared" si="18"/>
        <v>0</v>
      </c>
      <c r="G85" s="98">
        <f t="shared" si="18"/>
        <v>0</v>
      </c>
      <c r="H85" s="98">
        <f t="shared" si="18"/>
        <v>5003497</v>
      </c>
      <c r="I85" s="98">
        <f t="shared" si="18"/>
        <v>5003497</v>
      </c>
      <c r="J85" s="98">
        <f t="shared" si="18"/>
        <v>756848</v>
      </c>
      <c r="K85" s="98">
        <f t="shared" si="18"/>
        <v>4246649</v>
      </c>
      <c r="L85" s="257">
        <f>J85/C85</f>
        <v>0.12691385798689958</v>
      </c>
    </row>
    <row r="86" spans="1:12" ht="12.75">
      <c r="A86" s="33" t="s">
        <v>53</v>
      </c>
      <c r="B86" s="46" t="s">
        <v>35</v>
      </c>
      <c r="C86" s="11">
        <f>C73+C80</f>
        <v>60000</v>
      </c>
      <c r="D86" s="11">
        <f aca="true" t="shared" si="19" ref="D86:K86">D73+D80</f>
        <v>60000</v>
      </c>
      <c r="E86" s="11">
        <f t="shared" si="19"/>
        <v>0</v>
      </c>
      <c r="F86" s="11">
        <f t="shared" si="19"/>
        <v>0</v>
      </c>
      <c r="G86" s="11">
        <f t="shared" si="19"/>
        <v>0</v>
      </c>
      <c r="H86" s="11">
        <f t="shared" si="19"/>
        <v>0</v>
      </c>
      <c r="I86" s="11">
        <f t="shared" si="19"/>
        <v>0</v>
      </c>
      <c r="J86" s="11">
        <f t="shared" si="19"/>
        <v>0</v>
      </c>
      <c r="K86" s="11">
        <f t="shared" si="19"/>
        <v>0</v>
      </c>
      <c r="L86" s="257">
        <f>L81</f>
        <v>0</v>
      </c>
    </row>
    <row r="87" spans="1:12" ht="13.5" thickBot="1">
      <c r="A87" s="14" t="s">
        <v>130</v>
      </c>
      <c r="B87" s="75" t="s">
        <v>61</v>
      </c>
      <c r="C87" s="15">
        <f>C82+C78</f>
        <v>19557879</v>
      </c>
      <c r="D87" s="15">
        <f aca="true" t="shared" si="20" ref="D87:K87">D82+D78</f>
        <v>19557879</v>
      </c>
      <c r="E87" s="15">
        <f t="shared" si="20"/>
        <v>0</v>
      </c>
      <c r="F87" s="15">
        <f t="shared" si="20"/>
        <v>0</v>
      </c>
      <c r="G87" s="15">
        <f t="shared" si="20"/>
        <v>0</v>
      </c>
      <c r="H87" s="15">
        <f t="shared" si="20"/>
        <v>16670289</v>
      </c>
      <c r="I87" s="15">
        <f t="shared" si="20"/>
        <v>16670289</v>
      </c>
      <c r="J87" s="15">
        <f t="shared" si="20"/>
        <v>4960062</v>
      </c>
      <c r="K87" s="15">
        <f t="shared" si="20"/>
        <v>11710227</v>
      </c>
      <c r="L87" s="261">
        <f>L82</f>
        <v>0.20877487795719113</v>
      </c>
    </row>
    <row r="88" spans="1:12" ht="24.75" customHeight="1" thickBot="1">
      <c r="A88" s="321" t="s">
        <v>131</v>
      </c>
      <c r="B88" s="89" t="s">
        <v>161</v>
      </c>
      <c r="C88" s="322">
        <f>C91+C94</f>
        <v>3967600</v>
      </c>
      <c r="D88" s="322">
        <f aca="true" t="shared" si="21" ref="D88:J88">D91+D94</f>
        <v>3967600</v>
      </c>
      <c r="E88" s="322">
        <f t="shared" si="21"/>
        <v>0</v>
      </c>
      <c r="F88" s="322">
        <f t="shared" si="21"/>
        <v>0</v>
      </c>
      <c r="G88" s="322">
        <f t="shared" si="21"/>
        <v>0</v>
      </c>
      <c r="H88" s="322">
        <f t="shared" si="21"/>
        <v>3404452</v>
      </c>
      <c r="I88" s="322">
        <f t="shared" si="21"/>
        <v>3404452</v>
      </c>
      <c r="J88" s="322">
        <f t="shared" si="21"/>
        <v>3403949</v>
      </c>
      <c r="K88" s="53">
        <f>K89+K90+K92+K94+K95</f>
        <v>503</v>
      </c>
      <c r="L88" s="319">
        <f>J88/C88</f>
        <v>0.8579365359411231</v>
      </c>
    </row>
    <row r="89" spans="1:12" ht="12.75">
      <c r="A89" s="315" t="s">
        <v>182</v>
      </c>
      <c r="B89" s="92"/>
      <c r="C89" s="66">
        <f>D89+E89+F89+G89</f>
        <v>0</v>
      </c>
      <c r="D89" s="66"/>
      <c r="E89" s="66"/>
      <c r="F89" s="66"/>
      <c r="G89" s="316"/>
      <c r="H89" s="66"/>
      <c r="I89" s="66"/>
      <c r="J89" s="66"/>
      <c r="K89" s="317">
        <f>H89-J89</f>
        <v>0</v>
      </c>
      <c r="L89" s="318"/>
    </row>
    <row r="90" spans="1:12" ht="12.75">
      <c r="A90" s="1" t="s">
        <v>183</v>
      </c>
      <c r="B90" s="56"/>
      <c r="C90" s="10">
        <f>D90+E90+F90+G90</f>
        <v>0</v>
      </c>
      <c r="D90" s="10"/>
      <c r="E90" s="10"/>
      <c r="F90" s="10"/>
      <c r="G90" s="81"/>
      <c r="H90" s="10"/>
      <c r="I90" s="10"/>
      <c r="J90" s="10"/>
      <c r="K90" s="20">
        <f>H90-J90</f>
        <v>0</v>
      </c>
      <c r="L90" s="251"/>
    </row>
    <row r="91" spans="1:12" ht="12.75">
      <c r="A91" s="505" t="s">
        <v>249</v>
      </c>
      <c r="B91" s="272" t="s">
        <v>161</v>
      </c>
      <c r="C91" s="266">
        <f>C92+C93</f>
        <v>3826600</v>
      </c>
      <c r="D91" s="266">
        <f aca="true" t="shared" si="22" ref="D91:K91">D92+D93</f>
        <v>3826600</v>
      </c>
      <c r="E91" s="266">
        <f t="shared" si="22"/>
        <v>0</v>
      </c>
      <c r="F91" s="266">
        <f t="shared" si="22"/>
        <v>0</v>
      </c>
      <c r="G91" s="266">
        <f t="shared" si="22"/>
        <v>0</v>
      </c>
      <c r="H91" s="266">
        <f t="shared" si="22"/>
        <v>3307966</v>
      </c>
      <c r="I91" s="266">
        <f t="shared" si="22"/>
        <v>3307966</v>
      </c>
      <c r="J91" s="266">
        <f t="shared" si="22"/>
        <v>3307463</v>
      </c>
      <c r="K91" s="266">
        <f t="shared" si="22"/>
        <v>503</v>
      </c>
      <c r="L91" s="273">
        <f>J91/C91</f>
        <v>0.8643346573982125</v>
      </c>
    </row>
    <row r="92" spans="1:12" ht="12.75">
      <c r="A92" s="506"/>
      <c r="B92" s="54" t="s">
        <v>216</v>
      </c>
      <c r="C92" s="11">
        <v>3106600</v>
      </c>
      <c r="D92" s="11">
        <v>3106600</v>
      </c>
      <c r="E92" s="11"/>
      <c r="F92" s="11"/>
      <c r="G92" s="84"/>
      <c r="H92" s="11">
        <v>2894463</v>
      </c>
      <c r="I92" s="11">
        <v>2894463</v>
      </c>
      <c r="J92" s="11">
        <f>2154605+739355</f>
        <v>2893960</v>
      </c>
      <c r="K92" s="61">
        <f>H92-J92</f>
        <v>503</v>
      </c>
      <c r="L92" s="257">
        <f>J92/C92</f>
        <v>0.931552179231314</v>
      </c>
    </row>
    <row r="93" spans="1:12" ht="12.75">
      <c r="A93" s="507"/>
      <c r="B93" s="54" t="s">
        <v>251</v>
      </c>
      <c r="C93" s="11">
        <v>720000</v>
      </c>
      <c r="D93" s="11">
        <v>720000</v>
      </c>
      <c r="E93" s="11"/>
      <c r="F93" s="11"/>
      <c r="G93" s="84"/>
      <c r="H93" s="11">
        <v>413503</v>
      </c>
      <c r="I93" s="11">
        <v>413503</v>
      </c>
      <c r="J93" s="11">
        <v>413503</v>
      </c>
      <c r="K93" s="61">
        <f>H93-J93</f>
        <v>0</v>
      </c>
      <c r="L93" s="257">
        <f>J93/C93</f>
        <v>0.5743097222222222</v>
      </c>
    </row>
    <row r="94" spans="1:12" ht="12.75">
      <c r="A94" s="48" t="s">
        <v>184</v>
      </c>
      <c r="B94" s="69" t="s">
        <v>216</v>
      </c>
      <c r="C94" s="49">
        <v>141000</v>
      </c>
      <c r="D94" s="49">
        <v>141000</v>
      </c>
      <c r="E94" s="49"/>
      <c r="F94" s="49"/>
      <c r="G94" s="82"/>
      <c r="H94" s="49">
        <v>96486</v>
      </c>
      <c r="I94" s="49">
        <v>96486</v>
      </c>
      <c r="J94" s="49">
        <v>96486</v>
      </c>
      <c r="K94" s="63">
        <f>H94-J94</f>
        <v>0</v>
      </c>
      <c r="L94" s="253">
        <f>J94/D94</f>
        <v>0.6842978723404255</v>
      </c>
    </row>
    <row r="95" spans="1:12" ht="12.75">
      <c r="A95" s="4" t="s">
        <v>185</v>
      </c>
      <c r="B95" s="70"/>
      <c r="C95" s="65"/>
      <c r="D95" s="65"/>
      <c r="E95" s="65"/>
      <c r="F95" s="65"/>
      <c r="G95" s="93"/>
      <c r="H95" s="65"/>
      <c r="I95" s="65"/>
      <c r="J95" s="65"/>
      <c r="K95" s="94">
        <f>H95-J95</f>
        <v>0</v>
      </c>
      <c r="L95" s="254"/>
    </row>
    <row r="96" spans="1:12" ht="12.75">
      <c r="A96" s="519" t="s">
        <v>122</v>
      </c>
      <c r="B96" s="520"/>
      <c r="C96" s="520"/>
      <c r="D96" s="520"/>
      <c r="E96" s="520"/>
      <c r="F96" s="520"/>
      <c r="G96" s="520"/>
      <c r="H96" s="520"/>
      <c r="I96" s="520"/>
      <c r="J96" s="520"/>
      <c r="K96" s="520"/>
      <c r="L96" s="521"/>
    </row>
    <row r="97" spans="1:12" ht="13.5" thickBot="1">
      <c r="A97" s="242" t="s">
        <v>250</v>
      </c>
      <c r="B97" s="54" t="s">
        <v>251</v>
      </c>
      <c r="C97" s="11">
        <f>C93</f>
        <v>720000</v>
      </c>
      <c r="D97" s="11">
        <f aca="true" t="shared" si="23" ref="D97:K97">D93</f>
        <v>720000</v>
      </c>
      <c r="E97" s="11">
        <f t="shared" si="23"/>
        <v>0</v>
      </c>
      <c r="F97" s="11">
        <f t="shared" si="23"/>
        <v>0</v>
      </c>
      <c r="G97" s="11">
        <f t="shared" si="23"/>
        <v>0</v>
      </c>
      <c r="H97" s="11">
        <f t="shared" si="23"/>
        <v>413503</v>
      </c>
      <c r="I97" s="11">
        <f t="shared" si="23"/>
        <v>413503</v>
      </c>
      <c r="J97" s="11">
        <f t="shared" si="23"/>
        <v>413503</v>
      </c>
      <c r="K97" s="11">
        <f t="shared" si="23"/>
        <v>0</v>
      </c>
      <c r="L97" s="372">
        <f>J97/C97</f>
        <v>0.5743097222222222</v>
      </c>
    </row>
    <row r="98" spans="1:12" ht="13.5" thickBot="1">
      <c r="A98" s="323" t="s">
        <v>132</v>
      </c>
      <c r="B98" s="54" t="s">
        <v>216</v>
      </c>
      <c r="C98" s="11">
        <f>C94+C92</f>
        <v>3247600</v>
      </c>
      <c r="D98" s="11">
        <f aca="true" t="shared" si="24" ref="D98:K98">D94+D92</f>
        <v>3247600</v>
      </c>
      <c r="E98" s="11">
        <f t="shared" si="24"/>
        <v>0</v>
      </c>
      <c r="F98" s="11">
        <f t="shared" si="24"/>
        <v>0</v>
      </c>
      <c r="G98" s="11">
        <f t="shared" si="24"/>
        <v>0</v>
      </c>
      <c r="H98" s="11">
        <f t="shared" si="24"/>
        <v>2990949</v>
      </c>
      <c r="I98" s="11">
        <f t="shared" si="24"/>
        <v>2990949</v>
      </c>
      <c r="J98" s="11">
        <f t="shared" si="24"/>
        <v>2990446</v>
      </c>
      <c r="K98" s="11">
        <f t="shared" si="24"/>
        <v>503</v>
      </c>
      <c r="L98" s="372">
        <f>J98/C98</f>
        <v>0.9208172188693189</v>
      </c>
    </row>
    <row r="99" spans="1:12" ht="24.75" customHeight="1" thickBot="1">
      <c r="A99" s="321" t="s">
        <v>133</v>
      </c>
      <c r="B99" s="367" t="s">
        <v>161</v>
      </c>
      <c r="C99" s="368">
        <f>C102+C106+C111</f>
        <v>39971047</v>
      </c>
      <c r="D99" s="369">
        <f aca="true" t="shared" si="25" ref="D99:K99">D102+D106</f>
        <v>39088047</v>
      </c>
      <c r="E99" s="369">
        <f t="shared" si="25"/>
        <v>0</v>
      </c>
      <c r="F99" s="369">
        <f t="shared" si="25"/>
        <v>0</v>
      </c>
      <c r="G99" s="369">
        <f t="shared" si="25"/>
        <v>0</v>
      </c>
      <c r="H99" s="369">
        <f t="shared" si="25"/>
        <v>31472154</v>
      </c>
      <c r="I99" s="369">
        <f t="shared" si="25"/>
        <v>31472154</v>
      </c>
      <c r="J99" s="369">
        <f t="shared" si="25"/>
        <v>19600830</v>
      </c>
      <c r="K99" s="370">
        <f t="shared" si="25"/>
        <v>11871324</v>
      </c>
      <c r="L99" s="371">
        <f>J99/C99</f>
        <v>0.49037569618829346</v>
      </c>
    </row>
    <row r="100" spans="1:12" ht="12.75">
      <c r="A100" s="315" t="s">
        <v>182</v>
      </c>
      <c r="B100" s="79"/>
      <c r="C100" s="66">
        <f>D100+E100+F100+G100</f>
        <v>0</v>
      </c>
      <c r="D100" s="66"/>
      <c r="E100" s="66"/>
      <c r="F100" s="66"/>
      <c r="G100" s="316"/>
      <c r="H100" s="66"/>
      <c r="I100" s="66"/>
      <c r="J100" s="66"/>
      <c r="K100" s="317">
        <f>H100-J100</f>
        <v>0</v>
      </c>
      <c r="L100" s="324"/>
    </row>
    <row r="101" spans="1:12" ht="12.75">
      <c r="A101" s="1" t="s">
        <v>183</v>
      </c>
      <c r="B101" s="73"/>
      <c r="C101" s="10"/>
      <c r="D101" s="10"/>
      <c r="E101" s="10"/>
      <c r="F101" s="10"/>
      <c r="G101" s="81"/>
      <c r="H101" s="10"/>
      <c r="I101" s="10"/>
      <c r="J101" s="10"/>
      <c r="K101" s="20">
        <f>H101-J101</f>
        <v>0</v>
      </c>
      <c r="L101" s="260"/>
    </row>
    <row r="102" spans="1:12" ht="12.75">
      <c r="A102" s="505" t="s">
        <v>249</v>
      </c>
      <c r="B102" s="46" t="s">
        <v>215</v>
      </c>
      <c r="C102" s="11">
        <f>C103+C104+C105</f>
        <v>21347810</v>
      </c>
      <c r="D102" s="11">
        <f aca="true" t="shared" si="26" ref="D102:K102">D103+D104+D105</f>
        <v>20464810</v>
      </c>
      <c r="E102" s="11">
        <f t="shared" si="26"/>
        <v>0</v>
      </c>
      <c r="F102" s="11">
        <f t="shared" si="26"/>
        <v>0</v>
      </c>
      <c r="G102" s="11">
        <f t="shared" si="26"/>
        <v>0</v>
      </c>
      <c r="H102" s="11">
        <f t="shared" si="26"/>
        <v>17281917</v>
      </c>
      <c r="I102" s="11">
        <f t="shared" si="26"/>
        <v>17281917</v>
      </c>
      <c r="J102" s="11">
        <f t="shared" si="26"/>
        <v>8448616</v>
      </c>
      <c r="K102" s="61">
        <f t="shared" si="26"/>
        <v>8833301</v>
      </c>
      <c r="L102" s="257">
        <f aca="true" t="shared" si="27" ref="L102:L107">J102/C102</f>
        <v>0.39576031452406596</v>
      </c>
    </row>
    <row r="103" spans="1:12" ht="12.75">
      <c r="A103" s="506"/>
      <c r="B103" s="76" t="s">
        <v>87</v>
      </c>
      <c r="C103" s="10">
        <v>373000</v>
      </c>
      <c r="D103" s="10">
        <f>373000-105000</f>
        <v>268000</v>
      </c>
      <c r="E103" s="10"/>
      <c r="F103" s="10"/>
      <c r="G103" s="81"/>
      <c r="H103" s="10">
        <v>143000</v>
      </c>
      <c r="I103" s="10">
        <v>143000</v>
      </c>
      <c r="J103" s="10">
        <v>143000</v>
      </c>
      <c r="K103" s="20">
        <f>H103-J103</f>
        <v>0</v>
      </c>
      <c r="L103" s="260">
        <f t="shared" si="27"/>
        <v>0.38337801608579086</v>
      </c>
    </row>
    <row r="104" spans="1:12" ht="12.75">
      <c r="A104" s="506"/>
      <c r="B104" s="76" t="s">
        <v>104</v>
      </c>
      <c r="C104" s="10">
        <v>14633146</v>
      </c>
      <c r="D104" s="10">
        <f>14633146</f>
        <v>14633146</v>
      </c>
      <c r="E104" s="10"/>
      <c r="F104" s="10"/>
      <c r="G104" s="81"/>
      <c r="H104" s="10">
        <v>13980551</v>
      </c>
      <c r="I104" s="10">
        <v>13980551</v>
      </c>
      <c r="J104" s="10">
        <f>293231+2139719+2723835</f>
        <v>5156785</v>
      </c>
      <c r="K104" s="20">
        <f>H104-J104</f>
        <v>8823766</v>
      </c>
      <c r="L104" s="260">
        <f t="shared" si="27"/>
        <v>0.3524043975232667</v>
      </c>
    </row>
    <row r="105" spans="1:12" ht="13.5" thickBot="1">
      <c r="A105" s="506"/>
      <c r="B105" s="76" t="s">
        <v>81</v>
      </c>
      <c r="C105" s="10">
        <v>6341664</v>
      </c>
      <c r="D105" s="10">
        <f>6341664-778000</f>
        <v>5563664</v>
      </c>
      <c r="E105" s="10"/>
      <c r="F105" s="10"/>
      <c r="G105" s="81"/>
      <c r="H105" s="10">
        <v>3158366</v>
      </c>
      <c r="I105" s="10">
        <v>3158366</v>
      </c>
      <c r="J105" s="10">
        <f>425+75+14280+2474594+659457</f>
        <v>3148831</v>
      </c>
      <c r="K105" s="20">
        <f>H105-J105</f>
        <v>9535</v>
      </c>
      <c r="L105" s="260">
        <f t="shared" si="27"/>
        <v>0.49653072127441633</v>
      </c>
    </row>
    <row r="106" spans="1:12" ht="12.75">
      <c r="A106" s="500" t="s">
        <v>134</v>
      </c>
      <c r="B106" s="269" t="s">
        <v>215</v>
      </c>
      <c r="C106" s="16">
        <f>C107+C108+C109+C110</f>
        <v>18623237</v>
      </c>
      <c r="D106" s="16">
        <f aca="true" t="shared" si="28" ref="D106:K106">D107+D108+D109+D110</f>
        <v>18623237</v>
      </c>
      <c r="E106" s="16">
        <f t="shared" si="28"/>
        <v>0</v>
      </c>
      <c r="F106" s="16">
        <f t="shared" si="28"/>
        <v>0</v>
      </c>
      <c r="G106" s="16">
        <f t="shared" si="28"/>
        <v>0</v>
      </c>
      <c r="H106" s="16">
        <f t="shared" si="28"/>
        <v>14190237</v>
      </c>
      <c r="I106" s="16">
        <f t="shared" si="28"/>
        <v>14190237</v>
      </c>
      <c r="J106" s="16">
        <f t="shared" si="28"/>
        <v>11152214</v>
      </c>
      <c r="K106" s="16">
        <f t="shared" si="28"/>
        <v>3038023</v>
      </c>
      <c r="L106" s="277">
        <f t="shared" si="27"/>
        <v>0.5988332747953538</v>
      </c>
    </row>
    <row r="107" spans="1:12" ht="12.75">
      <c r="A107" s="501"/>
      <c r="B107" s="229" t="s">
        <v>87</v>
      </c>
      <c r="C107" s="35">
        <v>12335000</v>
      </c>
      <c r="D107" s="35">
        <v>12335000</v>
      </c>
      <c r="E107" s="35"/>
      <c r="F107" s="35"/>
      <c r="G107" s="36"/>
      <c r="H107" s="35">
        <v>9445651</v>
      </c>
      <c r="I107" s="35">
        <v>9445651</v>
      </c>
      <c r="J107" s="35">
        <v>9445651</v>
      </c>
      <c r="K107" s="20">
        <f>H107-J107</f>
        <v>0</v>
      </c>
      <c r="L107" s="251">
        <f t="shared" si="27"/>
        <v>0.765760113498176</v>
      </c>
    </row>
    <row r="108" spans="1:12" ht="12.75">
      <c r="A108" s="501"/>
      <c r="B108" s="270" t="s">
        <v>104</v>
      </c>
      <c r="C108" s="10"/>
      <c r="D108" s="10"/>
      <c r="E108" s="10"/>
      <c r="F108" s="10"/>
      <c r="G108" s="81"/>
      <c r="H108" s="34"/>
      <c r="I108" s="34"/>
      <c r="J108" s="10"/>
      <c r="K108" s="20">
        <f>H108-J108</f>
        <v>0</v>
      </c>
      <c r="L108" s="251"/>
    </row>
    <row r="109" spans="1:12" ht="12.75">
      <c r="A109" s="501"/>
      <c r="B109" s="270" t="s">
        <v>80</v>
      </c>
      <c r="C109" s="10">
        <v>1157519</v>
      </c>
      <c r="D109" s="10">
        <v>1157519</v>
      </c>
      <c r="E109" s="10"/>
      <c r="F109" s="10"/>
      <c r="G109" s="81"/>
      <c r="H109" s="10">
        <v>999650</v>
      </c>
      <c r="I109" s="10">
        <v>999650</v>
      </c>
      <c r="J109" s="10">
        <v>37650</v>
      </c>
      <c r="K109" s="20">
        <f>H109-J109</f>
        <v>962000</v>
      </c>
      <c r="L109" s="251">
        <f>J109/C109</f>
        <v>0.032526463928453875</v>
      </c>
    </row>
    <row r="110" spans="1:12" ht="13.5" thickBot="1">
      <c r="A110" s="502"/>
      <c r="B110" s="270" t="s">
        <v>81</v>
      </c>
      <c r="C110" s="10">
        <v>5130718</v>
      </c>
      <c r="D110" s="10">
        <f>5130718</f>
        <v>5130718</v>
      </c>
      <c r="E110" s="10"/>
      <c r="F110" s="10"/>
      <c r="G110" s="81"/>
      <c r="H110" s="10">
        <v>3744936</v>
      </c>
      <c r="I110" s="10">
        <v>3744936</v>
      </c>
      <c r="J110" s="10">
        <f>1232193+73875+75445+287400</f>
        <v>1668913</v>
      </c>
      <c r="K110" s="20">
        <f>H110-J110</f>
        <v>2076023</v>
      </c>
      <c r="L110" s="251">
        <f>J110/C110</f>
        <v>0.32527864521106015</v>
      </c>
    </row>
    <row r="111" spans="1:12" ht="13.5" thickBot="1">
      <c r="A111" s="271" t="s">
        <v>180</v>
      </c>
      <c r="B111" s="74"/>
      <c r="C111" s="65"/>
      <c r="D111" s="65"/>
      <c r="E111" s="65"/>
      <c r="F111" s="65"/>
      <c r="G111" s="93"/>
      <c r="H111" s="243"/>
      <c r="I111" s="243"/>
      <c r="J111" s="243"/>
      <c r="K111" s="94"/>
      <c r="L111" s="94"/>
    </row>
    <row r="112" spans="1:12" ht="13.5" thickBot="1">
      <c r="A112" s="479" t="s">
        <v>122</v>
      </c>
      <c r="B112" s="480"/>
      <c r="C112" s="480"/>
      <c r="D112" s="480"/>
      <c r="E112" s="480"/>
      <c r="F112" s="480"/>
      <c r="G112" s="480"/>
      <c r="H112" s="480"/>
      <c r="I112" s="480"/>
      <c r="J112" s="480"/>
      <c r="K112" s="480"/>
      <c r="L112" s="481"/>
    </row>
    <row r="113" spans="1:12" ht="12.75">
      <c r="A113" s="244" t="s">
        <v>84</v>
      </c>
      <c r="B113" s="86" t="s">
        <v>87</v>
      </c>
      <c r="C113" s="98">
        <f>C107+C103</f>
        <v>12708000</v>
      </c>
      <c r="D113" s="98">
        <f aca="true" t="shared" si="29" ref="D113:L113">D107+D103</f>
        <v>12603000</v>
      </c>
      <c r="E113" s="98">
        <f t="shared" si="29"/>
        <v>0</v>
      </c>
      <c r="F113" s="98">
        <f t="shared" si="29"/>
        <v>0</v>
      </c>
      <c r="G113" s="98">
        <f t="shared" si="29"/>
        <v>0</v>
      </c>
      <c r="H113" s="98">
        <f t="shared" si="29"/>
        <v>9588651</v>
      </c>
      <c r="I113" s="98">
        <f t="shared" si="29"/>
        <v>9588651</v>
      </c>
      <c r="J113" s="98">
        <f t="shared" si="29"/>
        <v>9588651</v>
      </c>
      <c r="K113" s="98">
        <f t="shared" si="29"/>
        <v>0</v>
      </c>
      <c r="L113" s="433">
        <f t="shared" si="29"/>
        <v>1.1491381295839669</v>
      </c>
    </row>
    <row r="114" spans="1:12" ht="12.75">
      <c r="A114" s="6" t="s">
        <v>83</v>
      </c>
      <c r="B114" s="77" t="s">
        <v>104</v>
      </c>
      <c r="C114" s="11">
        <f>C108+C104</f>
        <v>14633146</v>
      </c>
      <c r="D114" s="11">
        <f aca="true" t="shared" si="30" ref="D114:K114">D108+D104</f>
        <v>14633146</v>
      </c>
      <c r="E114" s="11">
        <f t="shared" si="30"/>
        <v>0</v>
      </c>
      <c r="F114" s="11">
        <f t="shared" si="30"/>
        <v>0</v>
      </c>
      <c r="G114" s="11">
        <f t="shared" si="30"/>
        <v>0</v>
      </c>
      <c r="H114" s="11">
        <f t="shared" si="30"/>
        <v>13980551</v>
      </c>
      <c r="I114" s="11">
        <f t="shared" si="30"/>
        <v>13980551</v>
      </c>
      <c r="J114" s="11">
        <f t="shared" si="30"/>
        <v>5156785</v>
      </c>
      <c r="K114" s="61">
        <f t="shared" si="30"/>
        <v>8823766</v>
      </c>
      <c r="L114" s="257">
        <f>J114/C114</f>
        <v>0.3524043975232667</v>
      </c>
    </row>
    <row r="115" spans="1:12" ht="12.75">
      <c r="A115" s="6" t="s">
        <v>85</v>
      </c>
      <c r="B115" s="77" t="s">
        <v>80</v>
      </c>
      <c r="C115" s="11">
        <f>C109</f>
        <v>1157519</v>
      </c>
      <c r="D115" s="11">
        <f aca="true" t="shared" si="31" ref="D115:J115">D109</f>
        <v>1157519</v>
      </c>
      <c r="E115" s="11">
        <f t="shared" si="31"/>
        <v>0</v>
      </c>
      <c r="F115" s="11">
        <f t="shared" si="31"/>
        <v>0</v>
      </c>
      <c r="G115" s="11">
        <f t="shared" si="31"/>
        <v>0</v>
      </c>
      <c r="H115" s="11">
        <f t="shared" si="31"/>
        <v>999650</v>
      </c>
      <c r="I115" s="11">
        <f t="shared" si="31"/>
        <v>999650</v>
      </c>
      <c r="J115" s="11">
        <f t="shared" si="31"/>
        <v>37650</v>
      </c>
      <c r="K115" s="61">
        <f>H115-J115</f>
        <v>962000</v>
      </c>
      <c r="L115" s="257">
        <f>J115/C115</f>
        <v>0.032526463928453875</v>
      </c>
    </row>
    <row r="116" spans="1:12" ht="12.75">
      <c r="A116" s="64" t="s">
        <v>135</v>
      </c>
      <c r="B116" s="77" t="s">
        <v>81</v>
      </c>
      <c r="C116" s="11">
        <f>C110+C105</f>
        <v>11472382</v>
      </c>
      <c r="D116" s="11">
        <f aca="true" t="shared" si="32" ref="D116:K116">D110+D105</f>
        <v>10694382</v>
      </c>
      <c r="E116" s="11">
        <f t="shared" si="32"/>
        <v>0</v>
      </c>
      <c r="F116" s="11">
        <f t="shared" si="32"/>
        <v>0</v>
      </c>
      <c r="G116" s="11">
        <f t="shared" si="32"/>
        <v>0</v>
      </c>
      <c r="H116" s="11">
        <f t="shared" si="32"/>
        <v>6903302</v>
      </c>
      <c r="I116" s="11">
        <f t="shared" si="32"/>
        <v>6903302</v>
      </c>
      <c r="J116" s="11">
        <f t="shared" si="32"/>
        <v>4817744</v>
      </c>
      <c r="K116" s="61">
        <f t="shared" si="32"/>
        <v>2085558</v>
      </c>
      <c r="L116" s="257">
        <f>L110+L105</f>
        <v>0.8218093664854764</v>
      </c>
    </row>
    <row r="117" spans="1:12" ht="13.5" thickBot="1">
      <c r="A117" s="47" t="s">
        <v>185</v>
      </c>
      <c r="B117" s="86"/>
      <c r="C117" s="15"/>
      <c r="D117" s="15"/>
      <c r="E117" s="15"/>
      <c r="F117" s="15"/>
      <c r="G117" s="15"/>
      <c r="H117" s="87">
        <f>H111</f>
        <v>0</v>
      </c>
      <c r="I117" s="87">
        <f>I111</f>
        <v>0</v>
      </c>
      <c r="J117" s="87">
        <f>J111</f>
        <v>0</v>
      </c>
      <c r="K117" s="62"/>
      <c r="L117" s="261"/>
    </row>
    <row r="118" spans="1:12" ht="12.75" hidden="1">
      <c r="A118" s="17" t="s">
        <v>189</v>
      </c>
      <c r="B118" s="25" t="s">
        <v>161</v>
      </c>
      <c r="C118" s="27">
        <f>C119</f>
        <v>0</v>
      </c>
      <c r="D118" s="27">
        <f aca="true" t="shared" si="33" ref="D118:K118">D119</f>
        <v>0</v>
      </c>
      <c r="E118" s="27">
        <f t="shared" si="33"/>
        <v>0</v>
      </c>
      <c r="F118" s="27">
        <f t="shared" si="33"/>
        <v>0</v>
      </c>
      <c r="G118" s="27">
        <f t="shared" si="33"/>
        <v>0</v>
      </c>
      <c r="H118" s="27">
        <f t="shared" si="33"/>
        <v>0</v>
      </c>
      <c r="I118" s="27">
        <f t="shared" si="33"/>
        <v>0</v>
      </c>
      <c r="J118" s="27">
        <f t="shared" si="33"/>
        <v>0</v>
      </c>
      <c r="K118" s="27">
        <f t="shared" si="33"/>
        <v>0</v>
      </c>
      <c r="L118" s="255" t="e">
        <f>J118/C118</f>
        <v>#DIV/0!</v>
      </c>
    </row>
    <row r="119" spans="1:12" ht="12.75" hidden="1">
      <c r="A119" s="492" t="s">
        <v>190</v>
      </c>
      <c r="B119" s="227" t="s">
        <v>215</v>
      </c>
      <c r="C119" s="228">
        <f>C120+C121</f>
        <v>0</v>
      </c>
      <c r="D119" s="228">
        <f aca="true" t="shared" si="34" ref="D119:K119">D120+D121</f>
        <v>0</v>
      </c>
      <c r="E119" s="228">
        <f t="shared" si="34"/>
        <v>0</v>
      </c>
      <c r="F119" s="228">
        <f t="shared" si="34"/>
        <v>0</v>
      </c>
      <c r="G119" s="228">
        <f t="shared" si="34"/>
        <v>0</v>
      </c>
      <c r="H119" s="228">
        <f t="shared" si="34"/>
        <v>0</v>
      </c>
      <c r="I119" s="228">
        <f t="shared" si="34"/>
        <v>0</v>
      </c>
      <c r="J119" s="228">
        <f t="shared" si="34"/>
        <v>0</v>
      </c>
      <c r="K119" s="228">
        <f t="shared" si="34"/>
        <v>0</v>
      </c>
      <c r="L119" s="278" t="e">
        <f>J119/C119</f>
        <v>#DIV/0!</v>
      </c>
    </row>
    <row r="120" spans="1:12" ht="12.75" hidden="1">
      <c r="A120" s="493"/>
      <c r="B120" s="224" t="s">
        <v>235</v>
      </c>
      <c r="C120" s="225"/>
      <c r="D120" s="225"/>
      <c r="E120" s="225"/>
      <c r="F120" s="225"/>
      <c r="G120" s="225"/>
      <c r="H120" s="225"/>
      <c r="I120" s="225"/>
      <c r="J120" s="225"/>
      <c r="K120" s="226"/>
      <c r="L120" s="262" t="e">
        <f>J120/C120</f>
        <v>#DIV/0!</v>
      </c>
    </row>
    <row r="121" spans="1:12" ht="13.5" hidden="1" thickBot="1">
      <c r="A121" s="493"/>
      <c r="B121" s="245" t="s">
        <v>214</v>
      </c>
      <c r="C121" s="246"/>
      <c r="D121" s="246"/>
      <c r="E121" s="246"/>
      <c r="F121" s="246"/>
      <c r="G121" s="246"/>
      <c r="H121" s="246"/>
      <c r="I121" s="246"/>
      <c r="J121" s="246"/>
      <c r="K121" s="247">
        <f>I121-J121</f>
        <v>0</v>
      </c>
      <c r="L121" s="263"/>
    </row>
    <row r="122" spans="1:12" ht="13.5" hidden="1" thickBot="1">
      <c r="A122" s="479" t="s">
        <v>122</v>
      </c>
      <c r="B122" s="480"/>
      <c r="C122" s="480"/>
      <c r="D122" s="480"/>
      <c r="E122" s="480"/>
      <c r="F122" s="480"/>
      <c r="G122" s="480"/>
      <c r="H122" s="480"/>
      <c r="I122" s="480"/>
      <c r="J122" s="480"/>
      <c r="K122" s="480"/>
      <c r="L122" s="481"/>
    </row>
    <row r="123" spans="1:12" ht="12.75" hidden="1">
      <c r="A123" s="279" t="s">
        <v>236</v>
      </c>
      <c r="B123" s="248" t="s">
        <v>235</v>
      </c>
      <c r="C123" s="249">
        <f>C120</f>
        <v>0</v>
      </c>
      <c r="D123" s="249">
        <f aca="true" t="shared" si="35" ref="D123:K123">D120</f>
        <v>0</v>
      </c>
      <c r="E123" s="249">
        <f t="shared" si="35"/>
        <v>0</v>
      </c>
      <c r="F123" s="249">
        <f t="shared" si="35"/>
        <v>0</v>
      </c>
      <c r="G123" s="249">
        <f t="shared" si="35"/>
        <v>0</v>
      </c>
      <c r="H123" s="249"/>
      <c r="I123" s="249"/>
      <c r="J123" s="249">
        <f t="shared" si="35"/>
        <v>0</v>
      </c>
      <c r="K123" s="249">
        <f t="shared" si="35"/>
        <v>0</v>
      </c>
      <c r="L123" s="280" t="e">
        <f>J123/C123</f>
        <v>#DIV/0!</v>
      </c>
    </row>
    <row r="124" spans="1:12" ht="12.75" hidden="1">
      <c r="A124" s="64" t="s">
        <v>213</v>
      </c>
      <c r="B124" s="77" t="s">
        <v>214</v>
      </c>
      <c r="C124" s="11">
        <f>C121</f>
        <v>0</v>
      </c>
      <c r="D124" s="11">
        <f aca="true" t="shared" si="36" ref="D124:K124">D121</f>
        <v>0</v>
      </c>
      <c r="E124" s="11">
        <f t="shared" si="36"/>
        <v>0</v>
      </c>
      <c r="F124" s="11">
        <f t="shared" si="36"/>
        <v>0</v>
      </c>
      <c r="G124" s="11">
        <f t="shared" si="36"/>
        <v>0</v>
      </c>
      <c r="H124" s="11">
        <f t="shared" si="36"/>
        <v>0</v>
      </c>
      <c r="I124" s="11">
        <f t="shared" si="36"/>
        <v>0</v>
      </c>
      <c r="J124" s="11">
        <f t="shared" si="36"/>
        <v>0</v>
      </c>
      <c r="K124" s="61">
        <f t="shared" si="36"/>
        <v>0</v>
      </c>
      <c r="L124" s="61">
        <f>L121</f>
        <v>0</v>
      </c>
    </row>
    <row r="125" spans="1:12" ht="12.75" hidden="1">
      <c r="A125" s="4" t="s">
        <v>185</v>
      </c>
      <c r="B125" s="245"/>
      <c r="C125" s="246"/>
      <c r="D125" s="246"/>
      <c r="E125" s="246"/>
      <c r="F125" s="246"/>
      <c r="G125" s="246"/>
      <c r="H125" s="246"/>
      <c r="I125" s="246"/>
      <c r="J125" s="246"/>
      <c r="K125" s="247"/>
      <c r="L125" s="247"/>
    </row>
    <row r="126" spans="1:12" ht="24.75" customHeight="1" thickBot="1">
      <c r="A126" s="50" t="s">
        <v>136</v>
      </c>
      <c r="B126" s="51" t="s">
        <v>161</v>
      </c>
      <c r="C126" s="52">
        <f>C129+C132</f>
        <v>151432085</v>
      </c>
      <c r="D126" s="52">
        <f aca="true" t="shared" si="37" ref="D126:J126">D129+D132</f>
        <v>130491085</v>
      </c>
      <c r="E126" s="52">
        <f t="shared" si="37"/>
        <v>0</v>
      </c>
      <c r="F126" s="52">
        <f t="shared" si="37"/>
        <v>0</v>
      </c>
      <c r="G126" s="52">
        <f t="shared" si="37"/>
        <v>0</v>
      </c>
      <c r="H126" s="52">
        <f t="shared" si="37"/>
        <v>128394486</v>
      </c>
      <c r="I126" s="52">
        <f t="shared" si="37"/>
        <v>128394486</v>
      </c>
      <c r="J126" s="52">
        <f t="shared" si="37"/>
        <v>42183721</v>
      </c>
      <c r="K126" s="53">
        <f>K127+K128+K131+K132</f>
        <v>86210765</v>
      </c>
      <c r="L126" s="319">
        <f>J126/C126</f>
        <v>0.27856527894996624</v>
      </c>
    </row>
    <row r="127" spans="1:12" ht="12.75">
      <c r="A127" s="349" t="s">
        <v>182</v>
      </c>
      <c r="B127" s="224"/>
      <c r="C127" s="351"/>
      <c r="D127" s="351">
        <v>0</v>
      </c>
      <c r="E127" s="351"/>
      <c r="F127" s="351"/>
      <c r="G127" s="352"/>
      <c r="H127" s="351"/>
      <c r="I127" s="351"/>
      <c r="J127" s="351"/>
      <c r="K127" s="353">
        <f aca="true" t="shared" si="38" ref="K127:L131">H127-J127</f>
        <v>0</v>
      </c>
      <c r="L127" s="353">
        <f t="shared" si="38"/>
        <v>0</v>
      </c>
    </row>
    <row r="128" spans="1:12" ht="12.75">
      <c r="A128" s="1" t="s">
        <v>183</v>
      </c>
      <c r="B128" s="73"/>
      <c r="C128" s="10">
        <f>D128+E128+F128+G128</f>
        <v>0</v>
      </c>
      <c r="D128" s="10"/>
      <c r="E128" s="10"/>
      <c r="F128" s="10"/>
      <c r="G128" s="81"/>
      <c r="H128" s="10"/>
      <c r="I128" s="10"/>
      <c r="J128" s="10"/>
      <c r="K128" s="20">
        <f t="shared" si="38"/>
        <v>0</v>
      </c>
      <c r="L128" s="20">
        <f t="shared" si="38"/>
        <v>0</v>
      </c>
    </row>
    <row r="129" spans="1:12" ht="12.75">
      <c r="A129" s="505" t="s">
        <v>249</v>
      </c>
      <c r="B129" s="354" t="s">
        <v>161</v>
      </c>
      <c r="C129" s="355">
        <f>SUM(C130:C131)</f>
        <v>16539285</v>
      </c>
      <c r="D129" s="355">
        <f aca="true" t="shared" si="39" ref="D129:K129">SUM(D130:D131)</f>
        <v>13833285</v>
      </c>
      <c r="E129" s="355">
        <f t="shared" si="39"/>
        <v>0</v>
      </c>
      <c r="F129" s="355">
        <f t="shared" si="39"/>
        <v>0</v>
      </c>
      <c r="G129" s="355">
        <f t="shared" si="39"/>
        <v>0</v>
      </c>
      <c r="H129" s="355">
        <f t="shared" si="39"/>
        <v>6526479</v>
      </c>
      <c r="I129" s="355">
        <f t="shared" si="39"/>
        <v>6526479</v>
      </c>
      <c r="J129" s="355">
        <f t="shared" si="39"/>
        <v>27188</v>
      </c>
      <c r="K129" s="355">
        <f t="shared" si="39"/>
        <v>6499291</v>
      </c>
      <c r="L129" s="356">
        <f aca="true" t="shared" si="40" ref="L129:L136">J129/C129</f>
        <v>0.0016438437332690016</v>
      </c>
    </row>
    <row r="130" spans="1:12" ht="12.75">
      <c r="A130" s="506"/>
      <c r="B130" s="73" t="s">
        <v>192</v>
      </c>
      <c r="C130" s="10">
        <v>8346000</v>
      </c>
      <c r="D130" s="10">
        <f>8346000-2106000</f>
        <v>6240000</v>
      </c>
      <c r="E130" s="10"/>
      <c r="F130" s="10"/>
      <c r="G130" s="81"/>
      <c r="H130" s="10"/>
      <c r="I130" s="10"/>
      <c r="J130" s="10"/>
      <c r="K130" s="20"/>
      <c r="L130" s="260">
        <f t="shared" si="40"/>
        <v>0</v>
      </c>
    </row>
    <row r="131" spans="1:12" ht="12.75">
      <c r="A131" s="507"/>
      <c r="B131" s="73" t="s">
        <v>98</v>
      </c>
      <c r="C131" s="10">
        <v>8193285</v>
      </c>
      <c r="D131" s="10">
        <f>8193285-600000</f>
        <v>7593285</v>
      </c>
      <c r="E131" s="10"/>
      <c r="F131" s="10"/>
      <c r="G131" s="81"/>
      <c r="H131" s="10">
        <v>6526479</v>
      </c>
      <c r="I131" s="10">
        <v>6526479</v>
      </c>
      <c r="J131" s="10">
        <v>27188</v>
      </c>
      <c r="K131" s="20">
        <f t="shared" si="38"/>
        <v>6499291</v>
      </c>
      <c r="L131" s="260">
        <f t="shared" si="40"/>
        <v>0.0033183271422878614</v>
      </c>
    </row>
    <row r="132" spans="1:12" ht="12.75">
      <c r="A132" s="524" t="s">
        <v>119</v>
      </c>
      <c r="B132" s="45" t="s">
        <v>161</v>
      </c>
      <c r="C132" s="16">
        <f>C133+C135+C136+C134</f>
        <v>134892800</v>
      </c>
      <c r="D132" s="16">
        <f aca="true" t="shared" si="41" ref="D132:K132">D133+D135+D136+D134</f>
        <v>116657800</v>
      </c>
      <c r="E132" s="16">
        <f t="shared" si="41"/>
        <v>0</v>
      </c>
      <c r="F132" s="16">
        <f t="shared" si="41"/>
        <v>0</v>
      </c>
      <c r="G132" s="16">
        <f t="shared" si="41"/>
        <v>0</v>
      </c>
      <c r="H132" s="16">
        <f t="shared" si="41"/>
        <v>121868007</v>
      </c>
      <c r="I132" s="16">
        <f t="shared" si="41"/>
        <v>121868007</v>
      </c>
      <c r="J132" s="16">
        <f t="shared" si="41"/>
        <v>42156533</v>
      </c>
      <c r="K132" s="16">
        <f t="shared" si="41"/>
        <v>79711474</v>
      </c>
      <c r="L132" s="277">
        <f t="shared" si="40"/>
        <v>0.31251877787398585</v>
      </c>
    </row>
    <row r="133" spans="1:12" ht="12.75">
      <c r="A133" s="524"/>
      <c r="B133" s="78" t="s">
        <v>193</v>
      </c>
      <c r="C133" s="35">
        <v>105001000</v>
      </c>
      <c r="D133" s="35">
        <f>105001000-15001000</f>
        <v>90000000</v>
      </c>
      <c r="E133" s="35"/>
      <c r="F133" s="35"/>
      <c r="G133" s="36"/>
      <c r="H133" s="35">
        <v>100114290</v>
      </c>
      <c r="I133" s="35">
        <v>100114290</v>
      </c>
      <c r="J133" s="35">
        <v>29104939</v>
      </c>
      <c r="K133" s="20">
        <f>H133-J133</f>
        <v>71009351</v>
      </c>
      <c r="L133" s="251">
        <f t="shared" si="40"/>
        <v>0.27718725535947275</v>
      </c>
    </row>
    <row r="134" spans="1:12" ht="12.75">
      <c r="A134" s="524"/>
      <c r="B134" s="78" t="s">
        <v>98</v>
      </c>
      <c r="C134" s="35">
        <v>9000000</v>
      </c>
      <c r="D134" s="35">
        <v>9000000</v>
      </c>
      <c r="E134" s="35"/>
      <c r="F134" s="35"/>
      <c r="G134" s="36"/>
      <c r="H134" s="35">
        <v>5901210</v>
      </c>
      <c r="I134" s="35">
        <v>5901210</v>
      </c>
      <c r="J134" s="35">
        <v>5901210</v>
      </c>
      <c r="K134" s="20"/>
      <c r="L134" s="251">
        <f t="shared" si="40"/>
        <v>0.65569</v>
      </c>
    </row>
    <row r="135" spans="1:12" ht="12.75">
      <c r="A135" s="524"/>
      <c r="B135" s="76" t="s">
        <v>99</v>
      </c>
      <c r="C135" s="10">
        <v>8512000</v>
      </c>
      <c r="D135" s="10">
        <f>8512000-1976000</f>
        <v>6536000</v>
      </c>
      <c r="E135" s="10"/>
      <c r="F135" s="10"/>
      <c r="G135" s="81"/>
      <c r="H135" s="10">
        <v>5721299</v>
      </c>
      <c r="I135" s="10">
        <v>5721299</v>
      </c>
      <c r="J135" s="10">
        <v>1192074</v>
      </c>
      <c r="K135" s="20">
        <f>H135-J135</f>
        <v>4529225</v>
      </c>
      <c r="L135" s="251">
        <f t="shared" si="40"/>
        <v>0.14004628759398496</v>
      </c>
    </row>
    <row r="136" spans="1:12" ht="12.75">
      <c r="A136" s="524"/>
      <c r="B136" s="76" t="s">
        <v>100</v>
      </c>
      <c r="C136" s="10">
        <v>12379800</v>
      </c>
      <c r="D136" s="10">
        <f>12379800-1258000</f>
        <v>11121800</v>
      </c>
      <c r="E136" s="10"/>
      <c r="F136" s="10"/>
      <c r="G136" s="81"/>
      <c r="H136" s="10">
        <v>10131208</v>
      </c>
      <c r="I136" s="10">
        <v>10131208</v>
      </c>
      <c r="J136" s="10">
        <f>1529311+4428999</f>
        <v>5958310</v>
      </c>
      <c r="K136" s="20">
        <f>H136-J136</f>
        <v>4172898</v>
      </c>
      <c r="L136" s="251">
        <f t="shared" si="40"/>
        <v>0.4812929126480234</v>
      </c>
    </row>
    <row r="137" spans="1:12" ht="13.5" thickBot="1">
      <c r="A137" s="4" t="s">
        <v>185</v>
      </c>
      <c r="B137" s="74"/>
      <c r="C137" s="65">
        <f>D137+E137+F137+G137</f>
        <v>0</v>
      </c>
      <c r="D137" s="65"/>
      <c r="E137" s="65"/>
      <c r="F137" s="65"/>
      <c r="G137" s="93"/>
      <c r="H137" s="243"/>
      <c r="I137" s="243"/>
      <c r="J137" s="243"/>
      <c r="K137" s="94">
        <f>H137-J137</f>
        <v>0</v>
      </c>
      <c r="L137" s="94">
        <f>I137-K137</f>
        <v>0</v>
      </c>
    </row>
    <row r="138" spans="1:12" ht="13.5" thickBot="1">
      <c r="A138" s="479" t="s">
        <v>122</v>
      </c>
      <c r="B138" s="480"/>
      <c r="C138" s="480"/>
      <c r="D138" s="480"/>
      <c r="E138" s="480"/>
      <c r="F138" s="480"/>
      <c r="G138" s="480"/>
      <c r="H138" s="480"/>
      <c r="I138" s="480"/>
      <c r="J138" s="480"/>
      <c r="K138" s="480"/>
      <c r="L138" s="481"/>
    </row>
    <row r="139" spans="1:12" ht="12.75">
      <c r="A139" s="244" t="s">
        <v>191</v>
      </c>
      <c r="B139" s="86" t="s">
        <v>192</v>
      </c>
      <c r="C139" s="98">
        <f>C130+C133</f>
        <v>113347000</v>
      </c>
      <c r="D139" s="98">
        <f aca="true" t="shared" si="42" ref="D139:J139">D130+D133</f>
        <v>96240000</v>
      </c>
      <c r="E139" s="98">
        <f t="shared" si="42"/>
        <v>0</v>
      </c>
      <c r="F139" s="98">
        <f t="shared" si="42"/>
        <v>0</v>
      </c>
      <c r="G139" s="98">
        <f t="shared" si="42"/>
        <v>0</v>
      </c>
      <c r="H139" s="98">
        <f t="shared" si="42"/>
        <v>100114290</v>
      </c>
      <c r="I139" s="98">
        <f t="shared" si="42"/>
        <v>100114290</v>
      </c>
      <c r="J139" s="98">
        <f t="shared" si="42"/>
        <v>29104939</v>
      </c>
      <c r="K139" s="98">
        <f>K133+K130</f>
        <v>71009351</v>
      </c>
      <c r="L139" s="252">
        <f>J139/C139</f>
        <v>0.2567773209701183</v>
      </c>
    </row>
    <row r="140" spans="1:12" ht="12.75">
      <c r="A140" s="6" t="s">
        <v>224</v>
      </c>
      <c r="B140" s="77" t="s">
        <v>98</v>
      </c>
      <c r="C140" s="11">
        <f>C134+C131+C127</f>
        <v>17193285</v>
      </c>
      <c r="D140" s="11">
        <f aca="true" t="shared" si="43" ref="D140:J140">D134+D131+D127</f>
        <v>16593285</v>
      </c>
      <c r="E140" s="11">
        <f t="shared" si="43"/>
        <v>0</v>
      </c>
      <c r="F140" s="11">
        <f t="shared" si="43"/>
        <v>0</v>
      </c>
      <c r="G140" s="11">
        <f t="shared" si="43"/>
        <v>0</v>
      </c>
      <c r="H140" s="11">
        <f t="shared" si="43"/>
        <v>12427689</v>
      </c>
      <c r="I140" s="11">
        <f t="shared" si="43"/>
        <v>12427689</v>
      </c>
      <c r="J140" s="11">
        <f t="shared" si="43"/>
        <v>5928398</v>
      </c>
      <c r="K140" s="11">
        <f>K134+K131</f>
        <v>6499291</v>
      </c>
      <c r="L140" s="252">
        <f>J140/C140</f>
        <v>0.3448089181328641</v>
      </c>
    </row>
    <row r="141" spans="1:12" ht="12.75">
      <c r="A141" s="6" t="s">
        <v>137</v>
      </c>
      <c r="B141" s="77" t="s">
        <v>99</v>
      </c>
      <c r="C141" s="11">
        <f>C135</f>
        <v>8512000</v>
      </c>
      <c r="D141" s="11">
        <f aca="true" t="shared" si="44" ref="D141:K141">D135</f>
        <v>6536000</v>
      </c>
      <c r="E141" s="11">
        <f t="shared" si="44"/>
        <v>0</v>
      </c>
      <c r="F141" s="11">
        <f t="shared" si="44"/>
        <v>0</v>
      </c>
      <c r="G141" s="11">
        <f t="shared" si="44"/>
        <v>0</v>
      </c>
      <c r="H141" s="11">
        <f t="shared" si="44"/>
        <v>5721299</v>
      </c>
      <c r="I141" s="11">
        <f t="shared" si="44"/>
        <v>5721299</v>
      </c>
      <c r="J141" s="11">
        <f t="shared" si="44"/>
        <v>1192074</v>
      </c>
      <c r="K141" s="61">
        <f t="shared" si="44"/>
        <v>4529225</v>
      </c>
      <c r="L141" s="252">
        <f>J141/C141</f>
        <v>0.14004628759398496</v>
      </c>
    </row>
    <row r="142" spans="1:12" ht="12.75">
      <c r="A142" s="5" t="s">
        <v>138</v>
      </c>
      <c r="B142" s="88" t="s">
        <v>100</v>
      </c>
      <c r="C142" s="15">
        <f>C136</f>
        <v>12379800</v>
      </c>
      <c r="D142" s="15">
        <f aca="true" t="shared" si="45" ref="D142:K142">D136</f>
        <v>11121800</v>
      </c>
      <c r="E142" s="15">
        <f t="shared" si="45"/>
        <v>0</v>
      </c>
      <c r="F142" s="15">
        <f t="shared" si="45"/>
        <v>0</v>
      </c>
      <c r="G142" s="15">
        <f t="shared" si="45"/>
        <v>0</v>
      </c>
      <c r="H142" s="15">
        <f t="shared" si="45"/>
        <v>10131208</v>
      </c>
      <c r="I142" s="15">
        <f t="shared" si="45"/>
        <v>10131208</v>
      </c>
      <c r="J142" s="15">
        <f t="shared" si="45"/>
        <v>5958310</v>
      </c>
      <c r="K142" s="15">
        <f t="shared" si="45"/>
        <v>4172898</v>
      </c>
      <c r="L142" s="252">
        <f>J142/C142</f>
        <v>0.4812929126480234</v>
      </c>
    </row>
    <row r="143" spans="1:12" ht="13.5" thickBot="1">
      <c r="A143" s="105" t="s">
        <v>185</v>
      </c>
      <c r="B143" s="106"/>
      <c r="C143" s="107"/>
      <c r="D143" s="107"/>
      <c r="E143" s="107"/>
      <c r="F143" s="107"/>
      <c r="G143" s="107"/>
      <c r="H143" s="108"/>
      <c r="I143" s="108"/>
      <c r="J143" s="108"/>
      <c r="K143" s="109"/>
      <c r="L143" s="109"/>
    </row>
    <row r="144" spans="3:12" ht="12.75">
      <c r="C144" s="9"/>
      <c r="D144" s="8"/>
      <c r="E144" s="8"/>
      <c r="F144" s="8"/>
      <c r="G144" s="8"/>
      <c r="H144" s="8"/>
      <c r="I144" s="8"/>
      <c r="J144" s="8"/>
      <c r="K144" s="8"/>
      <c r="L144" s="8"/>
    </row>
    <row r="145" spans="3:12" ht="13.5" thickBot="1">
      <c r="C145" s="9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33.75">
      <c r="A146" s="496" t="s">
        <v>172</v>
      </c>
      <c r="B146" s="497"/>
      <c r="C146" s="402" t="s">
        <v>155</v>
      </c>
      <c r="D146" s="402" t="s">
        <v>156</v>
      </c>
      <c r="E146" s="39"/>
      <c r="F146" s="39"/>
      <c r="G146" s="39"/>
      <c r="H146" s="402" t="s">
        <v>157</v>
      </c>
      <c r="I146" s="402" t="s">
        <v>158</v>
      </c>
      <c r="J146" s="402" t="s">
        <v>159</v>
      </c>
      <c r="K146" s="402" t="s">
        <v>160</v>
      </c>
      <c r="L146" s="413" t="s">
        <v>245</v>
      </c>
    </row>
    <row r="147" spans="1:12" ht="12.75">
      <c r="A147" s="498" t="s">
        <v>116</v>
      </c>
      <c r="B147" s="499"/>
      <c r="C147" s="403">
        <f>C127+C100+C89+C72+C62+C41+C26+C18+C10+C73</f>
        <v>1061000</v>
      </c>
      <c r="D147" s="403">
        <f aca="true" t="shared" si="46" ref="D147:K147">D127+D100+D89+D72+D62+D41+D26+D18+D10+D73</f>
        <v>1061000</v>
      </c>
      <c r="E147" s="398">
        <f t="shared" si="46"/>
        <v>0</v>
      </c>
      <c r="F147" s="10">
        <f t="shared" si="46"/>
        <v>0</v>
      </c>
      <c r="G147" s="81">
        <f t="shared" si="46"/>
        <v>0</v>
      </c>
      <c r="H147" s="403">
        <f t="shared" si="46"/>
        <v>541000</v>
      </c>
      <c r="I147" s="403">
        <f t="shared" si="46"/>
        <v>541000</v>
      </c>
      <c r="J147" s="403">
        <f t="shared" si="46"/>
        <v>541000</v>
      </c>
      <c r="K147" s="403">
        <f t="shared" si="46"/>
        <v>0</v>
      </c>
      <c r="L147" s="414">
        <f>J147/C147</f>
        <v>0.5098963242224317</v>
      </c>
    </row>
    <row r="148" spans="1:12" ht="12.75">
      <c r="A148" s="498" t="s">
        <v>117</v>
      </c>
      <c r="B148" s="499"/>
      <c r="C148" s="403">
        <f aca="true" t="shared" si="47" ref="C148:K148">C128+C101+C90+C74+C63+C42+C27+C19+C11</f>
        <v>0</v>
      </c>
      <c r="D148" s="403">
        <f t="shared" si="47"/>
        <v>0</v>
      </c>
      <c r="E148" s="398">
        <f t="shared" si="47"/>
        <v>0</v>
      </c>
      <c r="F148" s="10">
        <f t="shared" si="47"/>
        <v>0</v>
      </c>
      <c r="G148" s="81">
        <f t="shared" si="47"/>
        <v>0</v>
      </c>
      <c r="H148" s="403">
        <f t="shared" si="47"/>
        <v>0</v>
      </c>
      <c r="I148" s="403">
        <f t="shared" si="47"/>
        <v>0</v>
      </c>
      <c r="J148" s="403">
        <f t="shared" si="47"/>
        <v>0</v>
      </c>
      <c r="K148" s="403">
        <f t="shared" si="47"/>
        <v>0</v>
      </c>
      <c r="L148" s="414"/>
    </row>
    <row r="149" spans="1:12" ht="12.75" hidden="1">
      <c r="A149" s="498" t="s">
        <v>118</v>
      </c>
      <c r="B149" s="499"/>
      <c r="C149" s="403"/>
      <c r="D149" s="403"/>
      <c r="E149" s="398"/>
      <c r="F149" s="10"/>
      <c r="G149" s="81"/>
      <c r="H149" s="403"/>
      <c r="I149" s="403"/>
      <c r="J149" s="403"/>
      <c r="K149" s="403"/>
      <c r="L149" s="414"/>
    </row>
    <row r="150" spans="1:12" ht="12.75">
      <c r="A150" s="103"/>
      <c r="B150" s="394" t="s">
        <v>234</v>
      </c>
      <c r="C150" s="403">
        <f aca="true" t="shared" si="48" ref="C150:K150">C129+C102+C91+C76+C43+C28+C12</f>
        <v>78902058</v>
      </c>
      <c r="D150" s="403">
        <f t="shared" si="48"/>
        <v>72637931</v>
      </c>
      <c r="E150" s="398">
        <f t="shared" si="48"/>
        <v>0</v>
      </c>
      <c r="F150" s="10">
        <f t="shared" si="48"/>
        <v>0</v>
      </c>
      <c r="G150" s="81">
        <f t="shared" si="48"/>
        <v>0</v>
      </c>
      <c r="H150" s="403">
        <f t="shared" si="48"/>
        <v>52776679</v>
      </c>
      <c r="I150" s="403">
        <f t="shared" si="48"/>
        <v>52676679</v>
      </c>
      <c r="J150" s="403">
        <f t="shared" si="48"/>
        <v>20070710</v>
      </c>
      <c r="K150" s="403">
        <f t="shared" si="48"/>
        <v>32605969</v>
      </c>
      <c r="L150" s="414">
        <f>J150/C150</f>
        <v>0.2543749872785321</v>
      </c>
    </row>
    <row r="151" spans="1:12" ht="12.75">
      <c r="A151" s="498" t="s">
        <v>119</v>
      </c>
      <c r="B151" s="499"/>
      <c r="C151" s="403">
        <f aca="true" t="shared" si="49" ref="C151:K151">C132+C119+C106+C94+C79+C46+C29+C21+C13+C65</f>
        <v>169723286</v>
      </c>
      <c r="D151" s="403">
        <f t="shared" si="49"/>
        <v>148213286</v>
      </c>
      <c r="E151" s="398">
        <f t="shared" si="49"/>
        <v>706000</v>
      </c>
      <c r="F151" s="10">
        <f t="shared" si="49"/>
        <v>436322</v>
      </c>
      <c r="G151" s="81">
        <f t="shared" si="49"/>
        <v>160000</v>
      </c>
      <c r="H151" s="403">
        <f t="shared" si="49"/>
        <v>142989148</v>
      </c>
      <c r="I151" s="403">
        <f t="shared" si="49"/>
        <v>142956148</v>
      </c>
      <c r="J151" s="403">
        <f t="shared" si="49"/>
        <v>59591769</v>
      </c>
      <c r="K151" s="403">
        <f t="shared" si="49"/>
        <v>83397379</v>
      </c>
      <c r="L151" s="414">
        <f>J151/C151</f>
        <v>0.3511113318887781</v>
      </c>
    </row>
    <row r="152" spans="1:12" ht="15" hidden="1">
      <c r="A152" s="28" t="s">
        <v>120</v>
      </c>
      <c r="B152" s="395" t="s">
        <v>140</v>
      </c>
      <c r="C152" s="404" t="s">
        <v>141</v>
      </c>
      <c r="D152" s="404" t="s">
        <v>142</v>
      </c>
      <c r="E152" s="399" t="s">
        <v>143</v>
      </c>
      <c r="F152" s="29" t="s">
        <v>144</v>
      </c>
      <c r="G152" s="40"/>
      <c r="H152" s="409"/>
      <c r="I152" s="409"/>
      <c r="J152" s="409"/>
      <c r="K152" s="409"/>
      <c r="L152" s="259"/>
    </row>
    <row r="153" spans="1:12" ht="15.75" hidden="1">
      <c r="A153" s="19" t="s">
        <v>116</v>
      </c>
      <c r="B153" s="396">
        <f aca="true" t="shared" si="50" ref="B153:B158">C153+D153+E153+F153</f>
        <v>1001000</v>
      </c>
      <c r="C153" s="403">
        <f>D127+D100+D89+D72+D62+D41+D26+D18+D10</f>
        <v>1001000</v>
      </c>
      <c r="D153" s="403">
        <f>E127+E100+E89+E72+E62+E41+E26+E18+E10</f>
        <v>0</v>
      </c>
      <c r="E153" s="398">
        <f>F127+F100+F89+F72+F62+F41+F26+F18+F10</f>
        <v>0</v>
      </c>
      <c r="F153" s="20">
        <f>G127+G100+G89+G72+G62+G41+G26+G18+G10</f>
        <v>0</v>
      </c>
      <c r="G153" s="40"/>
      <c r="H153" s="409"/>
      <c r="I153" s="409"/>
      <c r="J153" s="409"/>
      <c r="K153" s="409"/>
      <c r="L153" s="259"/>
    </row>
    <row r="154" spans="1:12" ht="15.75" hidden="1">
      <c r="A154" s="19" t="s">
        <v>117</v>
      </c>
      <c r="B154" s="396">
        <f t="shared" si="50"/>
        <v>0</v>
      </c>
      <c r="C154" s="403">
        <f>D128+D101+D90+D74+D63+D42+D27+D19+D11</f>
        <v>0</v>
      </c>
      <c r="D154" s="403">
        <f>E128+E101+E90+E74+E63+E42+E27+E19+E11</f>
        <v>0</v>
      </c>
      <c r="E154" s="398">
        <f>F128+F101+F90+F74+F63+F42+F27+F19+F11</f>
        <v>0</v>
      </c>
      <c r="F154" s="20">
        <f>G128+G101+G90+G74+G63+G42+G27+G19+G11</f>
        <v>0</v>
      </c>
      <c r="G154" s="40"/>
      <c r="H154" s="409"/>
      <c r="I154" s="409"/>
      <c r="J154" s="409"/>
      <c r="K154" s="409"/>
      <c r="L154" s="259"/>
    </row>
    <row r="155" spans="1:12" ht="15.75" hidden="1">
      <c r="A155" s="19" t="s">
        <v>118</v>
      </c>
      <c r="B155" s="396" t="e">
        <f t="shared" si="50"/>
        <v>#REF!</v>
      </c>
      <c r="C155" s="403" t="e">
        <f>D131+D103+D92+D78+D64+#REF!+D28+D20+D12</f>
        <v>#REF!</v>
      </c>
      <c r="D155" s="403" t="e">
        <f>E131+E103+E92+E78+E64+#REF!+E28+E20+E12</f>
        <v>#REF!</v>
      </c>
      <c r="E155" s="398" t="e">
        <f>F131+F103+F92+F78+F64+#REF!+F28+F20+F12</f>
        <v>#REF!</v>
      </c>
      <c r="F155" s="20" t="e">
        <f>G131+G103+G92+G78+G64+#REF!+G28+G20+G12</f>
        <v>#REF!</v>
      </c>
      <c r="G155" s="40"/>
      <c r="H155" s="409"/>
      <c r="I155" s="409"/>
      <c r="J155" s="409"/>
      <c r="K155" s="409"/>
      <c r="L155" s="259"/>
    </row>
    <row r="156" spans="1:12" ht="15.75" hidden="1">
      <c r="A156" s="19" t="s">
        <v>119</v>
      </c>
      <c r="B156" s="396">
        <f t="shared" si="50"/>
        <v>149055408</v>
      </c>
      <c r="C156" s="403">
        <f>D132+D106+D79+D65+D46+D33+D21+D13+D94</f>
        <v>147753086</v>
      </c>
      <c r="D156" s="403">
        <f>E132+E106+E79+E65+E46+E33+E21+E13+E94</f>
        <v>706000</v>
      </c>
      <c r="E156" s="398">
        <f>F132+F106+F79+F65+F46+F33+F21+F13+F94</f>
        <v>436322</v>
      </c>
      <c r="F156" s="20">
        <f>G132+G106+G79+G65+G46+G33+G21+G13+G94</f>
        <v>160000</v>
      </c>
      <c r="G156" s="40"/>
      <c r="H156" s="409"/>
      <c r="I156" s="409"/>
      <c r="J156" s="409"/>
      <c r="K156" s="409"/>
      <c r="L156" s="259"/>
    </row>
    <row r="157" spans="1:12" ht="15.75" hidden="1">
      <c r="A157" s="19" t="s">
        <v>120</v>
      </c>
      <c r="B157" s="396">
        <f t="shared" si="50"/>
        <v>0</v>
      </c>
      <c r="C157" s="403"/>
      <c r="D157" s="408"/>
      <c r="E157" s="400"/>
      <c r="F157" s="3"/>
      <c r="G157" s="40"/>
      <c r="H157" s="409"/>
      <c r="I157" s="409"/>
      <c r="J157" s="409"/>
      <c r="K157" s="409"/>
      <c r="L157" s="259"/>
    </row>
    <row r="158" spans="1:12" ht="16.5" hidden="1" thickBot="1">
      <c r="A158" s="21" t="s">
        <v>146</v>
      </c>
      <c r="B158" s="397" t="e">
        <f t="shared" si="50"/>
        <v>#REF!</v>
      </c>
      <c r="C158" s="405" t="e">
        <f>C157+C156+C155+C154+C153</f>
        <v>#REF!</v>
      </c>
      <c r="D158" s="405" t="e">
        <f>D157+D156+D155+D154+D153</f>
        <v>#REF!</v>
      </c>
      <c r="E158" s="401" t="e">
        <f>E157+E156+E155+E154+E153</f>
        <v>#REF!</v>
      </c>
      <c r="F158" s="18" t="e">
        <f>F157+F156+F155+F154+F153</f>
        <v>#REF!</v>
      </c>
      <c r="G158" s="40"/>
      <c r="H158" s="409"/>
      <c r="I158" s="409"/>
      <c r="J158" s="409"/>
      <c r="K158" s="409"/>
      <c r="L158" s="259"/>
    </row>
    <row r="159" spans="1:12" ht="12.75" hidden="1">
      <c r="A159" s="41"/>
      <c r="B159" s="42"/>
      <c r="C159" s="406"/>
      <c r="D159" s="409"/>
      <c r="E159" s="40"/>
      <c r="F159" s="40"/>
      <c r="G159" s="40"/>
      <c r="H159" s="409"/>
      <c r="I159" s="409"/>
      <c r="J159" s="409"/>
      <c r="K159" s="409"/>
      <c r="L159" s="259"/>
    </row>
    <row r="160" spans="1:12" ht="13.5" thickBot="1">
      <c r="A160" s="503" t="s">
        <v>197</v>
      </c>
      <c r="B160" s="504"/>
      <c r="C160" s="407"/>
      <c r="D160" s="410"/>
      <c r="E160" s="400"/>
      <c r="F160" s="2"/>
      <c r="G160" s="411"/>
      <c r="H160" s="412">
        <f>H14+H34+H53+H66+H83+H95+H111+H137</f>
        <v>-38195</v>
      </c>
      <c r="I160" s="412">
        <f>I14+I34+I53+I66+I83+I95+I111+I137</f>
        <v>-38195</v>
      </c>
      <c r="J160" s="412">
        <f>J14+J34+J53+J66+J83+J95+J111+J137</f>
        <v>-38195</v>
      </c>
      <c r="K160" s="410"/>
      <c r="L160" s="415"/>
    </row>
    <row r="161" spans="1:12" ht="18.75" thickBot="1">
      <c r="A161" s="525" t="s">
        <v>147</v>
      </c>
      <c r="B161" s="526"/>
      <c r="C161" s="325">
        <f>C151+C149+C148+C147+C150</f>
        <v>249686344</v>
      </c>
      <c r="D161" s="325">
        <f aca="true" t="shared" si="51" ref="D161:K161">D151+D149+D148+D147+D150</f>
        <v>221912217</v>
      </c>
      <c r="E161" s="250">
        <f t="shared" si="51"/>
        <v>706000</v>
      </c>
      <c r="F161" s="43">
        <f t="shared" si="51"/>
        <v>436322</v>
      </c>
      <c r="G161" s="326">
        <f t="shared" si="51"/>
        <v>160000</v>
      </c>
      <c r="H161" s="325">
        <f>H151+H149+H148+H147+H150+H160</f>
        <v>196268632</v>
      </c>
      <c r="I161" s="325">
        <f>I151+I149+I148+I147+I150+I160</f>
        <v>196135632</v>
      </c>
      <c r="J161" s="325">
        <f>J151+J149+J148+J147+J150+J160</f>
        <v>80165284</v>
      </c>
      <c r="K161" s="325">
        <f t="shared" si="51"/>
        <v>116003348</v>
      </c>
      <c r="L161" s="416">
        <f>J161/C161</f>
        <v>0.3210639505378796</v>
      </c>
    </row>
    <row r="162" spans="1:12" s="32" customFormat="1" ht="18">
      <c r="A162" s="30"/>
      <c r="B162" s="30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1:12" ht="12.75">
      <c r="A163" s="24" t="s">
        <v>168</v>
      </c>
      <c r="C163" s="9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24" t="s">
        <v>194</v>
      </c>
      <c r="C164" s="9"/>
      <c r="D164" s="7" t="s">
        <v>169</v>
      </c>
      <c r="E164" s="8"/>
      <c r="F164" s="8"/>
      <c r="G164" s="8"/>
      <c r="H164" s="8"/>
      <c r="I164" s="8"/>
      <c r="J164" s="522" t="s">
        <v>232</v>
      </c>
      <c r="K164" s="522"/>
      <c r="L164" s="522"/>
    </row>
    <row r="165" spans="1:12" ht="12.75">
      <c r="A165" s="102" t="s">
        <v>229</v>
      </c>
      <c r="C165" s="9"/>
      <c r="D165" t="s">
        <v>170</v>
      </c>
      <c r="E165" s="8"/>
      <c r="F165" s="8"/>
      <c r="G165" s="8"/>
      <c r="H165" s="8"/>
      <c r="I165" s="8"/>
      <c r="J165" s="523" t="s">
        <v>228</v>
      </c>
      <c r="K165" s="523"/>
      <c r="L165" s="523"/>
    </row>
    <row r="167" spans="1:8" ht="12.75">
      <c r="A167" t="s">
        <v>285</v>
      </c>
      <c r="H167" t="s">
        <v>286</v>
      </c>
    </row>
    <row r="168" ht="12.75" hidden="1">
      <c r="B168" s="24" t="s">
        <v>220</v>
      </c>
    </row>
    <row r="169" spans="2:12" ht="12.75" hidden="1">
      <c r="B169" s="24" t="s">
        <v>221</v>
      </c>
      <c r="C169" s="9">
        <f>C142+C141+C139+C124+C116+C115+C114+C113+C98+C87+C86+C85+C69+C60+C59+C58+C56+C39+C38+C37+C36+C16</f>
        <v>231691259</v>
      </c>
      <c r="D169" s="9">
        <f>D142+D141+D139+D124+D116+D115+D114+D113+D98+D87+D86+D85+D69+D60+D59+D58+D56+D39+D38+D37+D36+D16</f>
        <v>204517132</v>
      </c>
      <c r="E169" s="9">
        <f>E142+E141+E139+E124+E116+E115+E114+E113+E98+E87+E86+E85+E69+E60+E59+E58+E56+E39+E38+E37+E36+E16</f>
        <v>700000</v>
      </c>
      <c r="F169" s="9">
        <f>F142+F141+F139+F124+F116+F115+F114+F113+F98+F87+F86+F85+F69+F60+F59+F58+F56+F39+F38+F37+F36+F16</f>
        <v>436322</v>
      </c>
      <c r="G169" s="9">
        <f>G142+G141+G139+G124+G116+G115+G114+G113+G98+G87+G86+G85+G69+G60+G59+G58+G56+G39+G38+G37+G36+G16</f>
        <v>160000</v>
      </c>
      <c r="H169" s="9">
        <f>H142+H141+H139+H124+H116+H115+H114+H113+H98+H87+H86+H85+H69+H60+H59+H58+H56+H39+H38+H37+H36+H16+H143+H117</f>
        <v>183395420</v>
      </c>
      <c r="I169" s="9">
        <f>I142+I141+I139+I124+I116+I115+I114+I113+I98+I87+I86+I85+I69+I60+I59+I58+I56+I39+I38+I37+I36+I16+I143+I117</f>
        <v>183362420</v>
      </c>
      <c r="J169" s="9">
        <f>J142+J141+J139+J124+J116+J115+J114+J113+J98+J87+J86+J85+J69+J60+J59+J58+J56+J39+J38+J37+J36+J16+J143+J117</f>
        <v>73791363</v>
      </c>
      <c r="K169" s="9">
        <f>K142+K141+K139+K124+K116+K115+K114+K113+K98+K87+K86+K85+K69+K60+K59+K58+K56+K39+K38+K37+K36+K16+K143+K117</f>
        <v>109604057</v>
      </c>
      <c r="L169" s="9">
        <f>L142+L141+L139+L124+L116+L115+L114+L113+L98+L87+L86+L85+L69+L60+L59+L58+L56+L39+L38+L37+L36+L16+L143+L117</f>
        <v>9.266500218535898</v>
      </c>
    </row>
  </sheetData>
  <sheetProtection/>
  <mergeCells count="37">
    <mergeCell ref="J164:L164"/>
    <mergeCell ref="J165:L165"/>
    <mergeCell ref="A129:A131"/>
    <mergeCell ref="A132:A136"/>
    <mergeCell ref="A102:A105"/>
    <mergeCell ref="A138:L138"/>
    <mergeCell ref="A161:B161"/>
    <mergeCell ref="A119:A121"/>
    <mergeCell ref="A84:L84"/>
    <mergeCell ref="A122:L122"/>
    <mergeCell ref="A43:A45"/>
    <mergeCell ref="A112:L112"/>
    <mergeCell ref="A67:K67"/>
    <mergeCell ref="A79:A82"/>
    <mergeCell ref="A91:A93"/>
    <mergeCell ref="A62:A63"/>
    <mergeCell ref="A71:A73"/>
    <mergeCell ref="A96:L96"/>
    <mergeCell ref="I2:K2"/>
    <mergeCell ref="A146:B146"/>
    <mergeCell ref="A147:B147"/>
    <mergeCell ref="A148:B148"/>
    <mergeCell ref="A106:A110"/>
    <mergeCell ref="A160:B160"/>
    <mergeCell ref="A151:B151"/>
    <mergeCell ref="A149:B149"/>
    <mergeCell ref="A76:A78"/>
    <mergeCell ref="A4:L4"/>
    <mergeCell ref="A5:L5"/>
    <mergeCell ref="A15:L15"/>
    <mergeCell ref="A23:L23"/>
    <mergeCell ref="A35:L35"/>
    <mergeCell ref="A54:L54"/>
    <mergeCell ref="B18:B22"/>
    <mergeCell ref="A46:A52"/>
    <mergeCell ref="A7:B7"/>
    <mergeCell ref="A29:A33"/>
  </mergeCells>
  <printOptions/>
  <pageMargins left="0.4330708661417323" right="0.2362204724409449" top="1.15" bottom="0.6692913385826772" header="0.7086614173228347" footer="0.5118110236220472"/>
  <pageSetup fitToHeight="4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2022-10-14T11:20:56Z</cp:lastPrinted>
  <dcterms:created xsi:type="dcterms:W3CDTF">2011-02-23T07:07:11Z</dcterms:created>
  <dcterms:modified xsi:type="dcterms:W3CDTF">2022-10-26T08:46:54Z</dcterms:modified>
  <cp:category/>
  <cp:version/>
  <cp:contentType/>
  <cp:contentStatus/>
</cp:coreProperties>
</file>