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0"/>
  </bookViews>
  <sheets>
    <sheet name="DG " sheetId="1" r:id="rId1"/>
    <sheet name="Deviz  pe Obiect APA" sheetId="2" r:id="rId2"/>
    <sheet name="Deviz pe Obiect Canal" sheetId="3" r:id="rId3"/>
  </sheets>
  <definedNames>
    <definedName name="_xlfn.SUMIFS" hidden="1">#NAME?</definedName>
    <definedName name="_xlnm.Print_Area" localSheetId="0">'DG '!$A$5:$F$90</definedName>
  </definedNames>
  <calcPr fullCalcOnLoad="1"/>
</workbook>
</file>

<file path=xl/sharedStrings.xml><?xml version="1.0" encoding="utf-8"?>
<sst xmlns="http://schemas.openxmlformats.org/spreadsheetml/2006/main" count="790" uniqueCount="138">
  <si>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</si>
  <si>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</si>
  <si>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</si>
  <si>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</si>
  <si>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</si>
  <si>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</si>
  <si>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</si>
  <si>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</si>
  <si>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</si>
  <si>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</si>
  <si>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</si>
  <si>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</si>
  <si>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</si>
  <si>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</si>
  <si>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</si>
  <si>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</si>
  <si>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</si>
  <si>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</si>
  <si>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</si>
  <si>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</si>
  <si>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</si>
  <si>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</si>
  <si>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</si>
  <si>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</si>
  <si>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</si>
  <si>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</si>
  <si>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</si>
  <si>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</si>
  <si>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</si>
  <si>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</si>
  <si>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</si>
  <si>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</si>
  <si>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</si>
  <si>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</si>
  <si>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</si>
  <si>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</si>
  <si>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</si>
  <si>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</si>
  <si>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</si>
  <si>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</si>
  <si>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</si>
  <si>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</si>
  <si>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</si>
  <si>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</si>
  <si>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</si>
  <si>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</si>
  <si>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</si>
  <si>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</si>
  <si>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</si>
  <si>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</si>
  <si>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</si>
  <si>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</si>
  <si>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</si>
  <si>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</si>
  <si>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</si>
  <si>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</si>
  <si>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</si>
  <si>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</si>
  <si>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</si>
  <si>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</si>
  <si>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</si>
  <si>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</si>
  <si>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</si>
  <si>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</si>
  <si>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</si>
  <si>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</si>
  <si>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</si>
  <si>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</si>
  <si>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</si>
  <si>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</si>
  <si>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</si>
  <si>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</si>
  <si>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</si>
  <si>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</si>
  <si>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</si>
  <si>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</si>
  <si>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</si>
  <si>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</si>
  <si>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</si>
  <si>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</si>
  <si>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</si>
  <si>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</si>
  <si>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</si>
  <si>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</si>
  <si>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</si>
  <si>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</si>
  <si>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</si>
  <si>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</si>
  <si>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</si>
  <si>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</si>
  <si>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</si>
  <si>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</si>
  <si>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</si>
  <si>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</si>
  <si>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</si>
  <si>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</si>
  <si>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</si>
  <si>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</si>
  <si>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</si>
  <si>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</si>
  <si>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</si>
  <si>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</si>
  <si>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</si>
  <si>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</si>
  <si>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</si>
  <si>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</si>
  <si>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</si>
  <si>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</si>
  <si>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</si>
  <si>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</si>
  <si>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</si>
  <si>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</si>
  <si>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</si>
  <si>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Preturi fără TVA</t>
  </si>
  <si>
    <t>Municipiul Satu Mare</t>
  </si>
  <si>
    <t xml:space="preserve">Cost unitar aferent investiției apa (lei) </t>
  </si>
  <si>
    <t>Cost unitar aferent investiției apa (EURO)</t>
  </si>
  <si>
    <t xml:space="preserve">Cost unitar aferent investiției canalizare (lei) </t>
  </si>
  <si>
    <t>Cost unitar aferent investiției canalizare (EURO)</t>
  </si>
  <si>
    <t>-</t>
  </si>
  <si>
    <t>Valoarea de referință pentru determinarea încadrării în standardul de cost (locuitori beneficiari/locuitori echivalenți beneficiari/km) apa</t>
  </si>
  <si>
    <t>Valoarea de referință pentru determinarea încadrării în standardul de cost (locuitori beneficiari/locuitori echivalenți beneficiari/km) canal</t>
  </si>
  <si>
    <t>Şef serviciu investiții</t>
  </si>
  <si>
    <t>Kereskényi Gábor</t>
  </si>
  <si>
    <t>ing. Szucs Zsigmond</t>
  </si>
  <si>
    <t>Întocmit</t>
  </si>
  <si>
    <t>Cost unitar aferent investiției apa</t>
  </si>
  <si>
    <t>Cost unitar aferent investiției canalizare</t>
  </si>
  <si>
    <t>Valoarea de referință pentru determinarea încadrării în standardul de cost (locuitori beneficiari/locuitori echivalenți beneficiari/km)</t>
  </si>
  <si>
    <t>260 locuitori</t>
  </si>
  <si>
    <t>Ing. Giurgiu Radu Mircea</t>
  </si>
  <si>
    <t>DEVIZ  GENERAL 
al obiectivului de investiţie : "Extindere rețea de apă potabilă, rețea de canalizare menajeră cu stație de pompare, Sătmărel – Zona 1, Municipiul Satu Mare, Județul Satu Mare"</t>
  </si>
  <si>
    <t>Deviz pe Obiectul : "Extindere rețea de apă potabilă Sătmărel – Zona 1, Municipiul Satu Mare, Județul Satu Mare"</t>
  </si>
  <si>
    <t>Deviz pe Obiectul : "Extindere rețea de canalizare menajeră cu stație de pompare, Sătmărel – Zona 1, Municipiul Satu Mare, Județul Satu Mare"</t>
  </si>
  <si>
    <t>ANEXA  NR. 2
la Hotărârea Consiliului local al municipiului Satu Mare
Nr. 290/28.09.2023</t>
  </si>
  <si>
    <t>Vizat spre neschimbare,</t>
  </si>
  <si>
    <t xml:space="preserve">Președinte de ședință, </t>
  </si>
  <si>
    <t xml:space="preserve">       Secretar general,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</si>
</sst>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dd/mmm/yyyy"/>
    <numFmt numFmtId="181" formatCode="#,##0.0000"/>
    <numFmt numFmtId="182" formatCode="[$-418]d\ mmmm\ yyyy"/>
    <numFmt numFmtId="183" formatCode="#,##0.0"/>
    <numFmt numFmtId="184" formatCode="#,##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81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1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vertical="center"/>
      <protection hidden="1"/>
    </xf>
    <xf numFmtId="180" fontId="5" fillId="0" borderId="0" xfId="0" applyNumberFormat="1" applyFont="1" applyAlignment="1" applyProtection="1">
      <alignment horizontal="left" vertical="center"/>
      <protection hidden="1"/>
    </xf>
    <xf numFmtId="181" fontId="5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49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49" fontId="8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49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3" fontId="4" fillId="0" borderId="0" xfId="0" applyNumberFormat="1" applyFont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3" fontId="10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right" vertical="center"/>
    </xf>
    <xf numFmtId="0" fontId="14" fillId="0" borderId="10" xfId="0" applyFont="1" applyBorder="1" applyAlignment="1" applyProtection="1">
      <alignment horizontal="right" vertical="center" wrapText="1"/>
      <protection hidden="1"/>
    </xf>
    <xf numFmtId="4" fontId="12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14" fontId="12" fillId="0" borderId="10" xfId="0" applyNumberFormat="1" applyFont="1" applyFill="1" applyBorder="1" applyAlignment="1">
      <alignment horizontal="center" vertical="center"/>
    </xf>
    <xf numFmtId="190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7" fillId="35" borderId="0" xfId="0" applyFont="1" applyFill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="110" zoomScaleNormal="110" zoomScalePageLayoutView="0" workbookViewId="0" topLeftCell="A94">
      <selection activeCell="B109" sqref="B109:D110"/>
    </sheetView>
  </sheetViews>
  <sheetFormatPr defaultColWidth="9.140625" defaultRowHeight="12.75"/>
  <cols>
    <col min="1" max="1" width="6.8515625" style="4" customWidth="1"/>
    <col min="2" max="2" width="44.42187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4" customWidth="1"/>
    <col min="7" max="7" width="14.28125" style="33" customWidth="1"/>
    <col min="8" max="16" width="9.140625" style="20" customWidth="1"/>
    <col min="17" max="16384" width="9.140625" style="1" customWidth="1"/>
  </cols>
  <sheetData>
    <row r="1" spans="2:4" ht="22.5" customHeight="1">
      <c r="B1" s="178" t="s">
        <v>134</v>
      </c>
      <c r="C1" s="178"/>
      <c r="D1" s="178"/>
    </row>
    <row r="2" spans="2:4" ht="12.75" customHeight="1">
      <c r="B2" s="178"/>
      <c r="C2" s="178"/>
      <c r="D2" s="178"/>
    </row>
    <row r="3" spans="2:4" ht="12.75" customHeight="1">
      <c r="B3" s="178"/>
      <c r="C3" s="178"/>
      <c r="D3" s="178"/>
    </row>
    <row r="5" spans="1:6" ht="39" customHeight="1">
      <c r="A5" s="179" t="s">
        <v>131</v>
      </c>
      <c r="B5" s="180"/>
      <c r="C5" s="180"/>
      <c r="D5" s="180"/>
      <c r="E5" s="180"/>
      <c r="F5" s="26"/>
    </row>
    <row r="6" spans="1:6" ht="13.5" thickBot="1">
      <c r="A6" s="6"/>
      <c r="B6" s="6"/>
      <c r="C6" s="6"/>
      <c r="D6" s="5"/>
      <c r="E6" s="27"/>
      <c r="F6" s="35"/>
    </row>
    <row r="7" spans="1:8" ht="38.25">
      <c r="A7" s="181" t="s">
        <v>0</v>
      </c>
      <c r="B7" s="183" t="s">
        <v>1</v>
      </c>
      <c r="C7" s="185" t="s">
        <v>28</v>
      </c>
      <c r="D7" s="186"/>
      <c r="E7" s="187"/>
      <c r="F7" s="36" t="s">
        <v>50</v>
      </c>
      <c r="G7" s="36" t="s">
        <v>99</v>
      </c>
      <c r="H7" s="36" t="s">
        <v>112</v>
      </c>
    </row>
    <row r="8" spans="1:7" ht="25.5">
      <c r="A8" s="182"/>
      <c r="B8" s="184"/>
      <c r="C8" s="22" t="s">
        <v>95</v>
      </c>
      <c r="D8" s="9" t="s">
        <v>96</v>
      </c>
      <c r="E8" s="28" t="s">
        <v>97</v>
      </c>
      <c r="F8" s="36"/>
      <c r="G8" s="36"/>
    </row>
    <row r="9" spans="1:7" ht="12.75">
      <c r="A9" s="182"/>
      <c r="B9" s="184"/>
      <c r="C9" s="8" t="s">
        <v>2</v>
      </c>
      <c r="D9" s="10" t="s">
        <v>2</v>
      </c>
      <c r="E9" s="29" t="s">
        <v>2</v>
      </c>
      <c r="F9" s="40"/>
      <c r="G9" s="37"/>
    </row>
    <row r="10" spans="1:7" ht="13.5" thickBot="1">
      <c r="A10" s="42">
        <v>1</v>
      </c>
      <c r="B10" s="43">
        <v>2</v>
      </c>
      <c r="C10" s="43">
        <v>3</v>
      </c>
      <c r="D10" s="44">
        <v>4</v>
      </c>
      <c r="E10" s="45">
        <v>5</v>
      </c>
      <c r="F10" s="39"/>
      <c r="G10" s="37"/>
    </row>
    <row r="11" spans="1:7" ht="32.25" customHeight="1" thickBot="1">
      <c r="A11" s="172" t="s">
        <v>40</v>
      </c>
      <c r="B11" s="173"/>
      <c r="C11" s="173"/>
      <c r="D11" s="173"/>
      <c r="E11" s="174"/>
      <c r="F11" s="39"/>
      <c r="G11" s="37"/>
    </row>
    <row r="12" spans="1:8" ht="12.75">
      <c r="A12" s="59" t="s">
        <v>3</v>
      </c>
      <c r="B12" s="60" t="s">
        <v>94</v>
      </c>
      <c r="C12" s="66">
        <v>0</v>
      </c>
      <c r="D12" s="70">
        <f>ROUND(0.19*C12,2)</f>
        <v>0</v>
      </c>
      <c r="E12" s="71">
        <f>D12+C12</f>
        <v>0</v>
      </c>
      <c r="F12" s="38" t="s">
        <v>29</v>
      </c>
      <c r="G12" s="37" t="s">
        <v>100</v>
      </c>
      <c r="H12" s="37" t="s">
        <v>100</v>
      </c>
    </row>
    <row r="13" spans="1:16" s="17" customFormat="1" ht="12.75">
      <c r="A13" s="31" t="s">
        <v>4</v>
      </c>
      <c r="B13" s="46" t="s">
        <v>93</v>
      </c>
      <c r="C13" s="67">
        <v>0</v>
      </c>
      <c r="D13" s="72">
        <f>ROUND(0.19*C13,2)</f>
        <v>0</v>
      </c>
      <c r="E13" s="73">
        <f>D13+C13</f>
        <v>0</v>
      </c>
      <c r="F13" s="38" t="s">
        <v>30</v>
      </c>
      <c r="G13" s="37" t="s">
        <v>105</v>
      </c>
      <c r="H13" s="37" t="s">
        <v>105</v>
      </c>
      <c r="I13" s="20"/>
      <c r="J13" s="20"/>
      <c r="K13" s="20"/>
      <c r="L13" s="20"/>
      <c r="M13" s="20"/>
      <c r="N13" s="20"/>
      <c r="O13" s="20"/>
      <c r="P13" s="20"/>
    </row>
    <row r="14" spans="1:8" ht="25.5">
      <c r="A14" s="31" t="s">
        <v>5</v>
      </c>
      <c r="B14" s="21" t="s">
        <v>41</v>
      </c>
      <c r="C14" s="68">
        <v>0</v>
      </c>
      <c r="D14" s="72">
        <f>ROUND(0.19*C14,2)</f>
        <v>0</v>
      </c>
      <c r="E14" s="73">
        <f>D14+C14</f>
        <v>0</v>
      </c>
      <c r="F14" s="38" t="s">
        <v>29</v>
      </c>
      <c r="G14" s="37" t="s">
        <v>105</v>
      </c>
      <c r="H14" s="37" t="s">
        <v>105</v>
      </c>
    </row>
    <row r="15" spans="1:16" s="17" customFormat="1" ht="12.75">
      <c r="A15" s="32" t="s">
        <v>51</v>
      </c>
      <c r="B15" s="21" t="s">
        <v>52</v>
      </c>
      <c r="C15" s="67">
        <v>0</v>
      </c>
      <c r="D15" s="72">
        <f>ROUND(0.19*C15,2)</f>
        <v>0</v>
      </c>
      <c r="E15" s="73">
        <f>D15+C15</f>
        <v>0</v>
      </c>
      <c r="F15" s="38" t="s">
        <v>30</v>
      </c>
      <c r="G15" s="37" t="s">
        <v>105</v>
      </c>
      <c r="H15" s="37" t="s">
        <v>105</v>
      </c>
      <c r="I15" s="20"/>
      <c r="J15" s="20"/>
      <c r="K15" s="20"/>
      <c r="L15" s="20"/>
      <c r="M15" s="20"/>
      <c r="N15" s="20"/>
      <c r="O15" s="20"/>
      <c r="P15" s="20"/>
    </row>
    <row r="16" spans="1:7" ht="15.75" thickBot="1">
      <c r="A16" s="57"/>
      <c r="B16" s="58" t="s">
        <v>38</v>
      </c>
      <c r="C16" s="69">
        <f>_xlfn.SUMIFS(C12:C15,$F$12:$F$15,"&lt;&gt;")</f>
        <v>0</v>
      </c>
      <c r="D16" s="69">
        <f>_xlfn.SUMIFS(D12:D15,$F$12:$F$15,"&lt;&gt;0")</f>
        <v>0</v>
      </c>
      <c r="E16" s="69">
        <f>_xlfn.SUMIFS(E12:E15,$F$12:$F$15,"&lt;&gt;")</f>
        <v>0</v>
      </c>
      <c r="F16" s="38"/>
      <c r="G16" s="37"/>
    </row>
    <row r="17" spans="1:7" ht="33" customHeight="1">
      <c r="A17" s="172" t="s">
        <v>42</v>
      </c>
      <c r="B17" s="173"/>
      <c r="C17" s="173"/>
      <c r="D17" s="173"/>
      <c r="E17" s="174"/>
      <c r="F17" s="38"/>
      <c r="G17" s="37"/>
    </row>
    <row r="18" spans="1:8" ht="25.5">
      <c r="A18" s="31">
        <v>2</v>
      </c>
      <c r="B18" s="21" t="s">
        <v>53</v>
      </c>
      <c r="C18" s="68">
        <v>15000</v>
      </c>
      <c r="D18" s="72">
        <f>ROUND(0.19*C18,2)</f>
        <v>2850</v>
      </c>
      <c r="E18" s="73">
        <f>D18+C18</f>
        <v>17850</v>
      </c>
      <c r="F18" s="38" t="s">
        <v>30</v>
      </c>
      <c r="G18" s="39" t="s">
        <v>105</v>
      </c>
      <c r="H18" s="39" t="s">
        <v>105</v>
      </c>
    </row>
    <row r="19" spans="1:7" ht="15" thickBot="1">
      <c r="A19" s="51"/>
      <c r="B19" s="61" t="s">
        <v>39</v>
      </c>
      <c r="C19" s="69">
        <f>_xlfn.SUMIFS(C18,$F$18,"&lt;&gt;")</f>
        <v>15000</v>
      </c>
      <c r="D19" s="69">
        <f>_xlfn.SUMIFS(D18,$F$18,"&lt;&gt;")</f>
        <v>2850</v>
      </c>
      <c r="E19" s="74">
        <f>_xlfn.SUMIFS(E18,$F$18,"&lt;&gt;")</f>
        <v>17850</v>
      </c>
      <c r="F19" s="38"/>
      <c r="G19" s="37"/>
    </row>
    <row r="20" spans="1:7" ht="33" customHeight="1" thickBot="1">
      <c r="A20" s="172" t="s">
        <v>43</v>
      </c>
      <c r="B20" s="173"/>
      <c r="C20" s="173"/>
      <c r="D20" s="173"/>
      <c r="E20" s="174"/>
      <c r="F20" s="38"/>
      <c r="G20" s="37"/>
    </row>
    <row r="21" spans="1:8" ht="12.75">
      <c r="A21" s="59" t="s">
        <v>6</v>
      </c>
      <c r="B21" s="65" t="s">
        <v>54</v>
      </c>
      <c r="C21" s="66">
        <v>4100</v>
      </c>
      <c r="D21" s="78">
        <f aca="true" t="shared" si="0" ref="D21:D34">ROUND(0.19*C21,2)</f>
        <v>779</v>
      </c>
      <c r="E21" s="79">
        <f aca="true" t="shared" si="1" ref="E21:E34">D21+C21</f>
        <v>4879</v>
      </c>
      <c r="F21" s="38" t="s">
        <v>29</v>
      </c>
      <c r="G21" s="37" t="s">
        <v>105</v>
      </c>
      <c r="H21" s="37" t="s">
        <v>100</v>
      </c>
    </row>
    <row r="22" spans="1:8" ht="25.5">
      <c r="A22" s="31" t="s">
        <v>7</v>
      </c>
      <c r="B22" s="21" t="s">
        <v>55</v>
      </c>
      <c r="C22" s="68">
        <v>0</v>
      </c>
      <c r="D22" s="76">
        <f t="shared" si="0"/>
        <v>0</v>
      </c>
      <c r="E22" s="77">
        <f t="shared" si="1"/>
        <v>0</v>
      </c>
      <c r="F22" s="38" t="s">
        <v>29</v>
      </c>
      <c r="G22" s="37" t="s">
        <v>105</v>
      </c>
      <c r="H22" s="37" t="s">
        <v>100</v>
      </c>
    </row>
    <row r="23" spans="1:8" ht="12.75">
      <c r="A23" s="32" t="s">
        <v>8</v>
      </c>
      <c r="B23" s="21" t="s">
        <v>56</v>
      </c>
      <c r="C23" s="68">
        <v>0</v>
      </c>
      <c r="D23" s="76">
        <f t="shared" si="0"/>
        <v>0</v>
      </c>
      <c r="E23" s="77">
        <f t="shared" si="1"/>
        <v>0</v>
      </c>
      <c r="F23" s="38" t="s">
        <v>29</v>
      </c>
      <c r="G23" s="37" t="s">
        <v>105</v>
      </c>
      <c r="H23" s="37" t="s">
        <v>100</v>
      </c>
    </row>
    <row r="24" spans="1:8" ht="25.5">
      <c r="A24" s="32" t="s">
        <v>9</v>
      </c>
      <c r="B24" s="21" t="s">
        <v>57</v>
      </c>
      <c r="C24" s="68">
        <v>0</v>
      </c>
      <c r="D24" s="76">
        <f t="shared" si="0"/>
        <v>0</v>
      </c>
      <c r="E24" s="77">
        <f t="shared" si="1"/>
        <v>0</v>
      </c>
      <c r="F24" s="38" t="s">
        <v>29</v>
      </c>
      <c r="G24" s="37" t="s">
        <v>105</v>
      </c>
      <c r="H24" s="37" t="s">
        <v>100</v>
      </c>
    </row>
    <row r="25" spans="1:8" ht="12.75">
      <c r="A25" s="32" t="s">
        <v>10</v>
      </c>
      <c r="B25" s="47" t="s">
        <v>58</v>
      </c>
      <c r="C25" s="76">
        <f>SUM(C26:C31)</f>
        <v>39500</v>
      </c>
      <c r="D25" s="76">
        <f>SUM(D26:D31)</f>
        <v>7505</v>
      </c>
      <c r="E25" s="77">
        <f>SUM(E26:E31)</f>
        <v>47005</v>
      </c>
      <c r="F25" s="38"/>
      <c r="G25" s="37"/>
      <c r="H25" s="37"/>
    </row>
    <row r="26" spans="1:8" ht="12.75">
      <c r="A26" s="62" t="s">
        <v>59</v>
      </c>
      <c r="B26" s="63" t="s">
        <v>60</v>
      </c>
      <c r="C26" s="75">
        <v>0</v>
      </c>
      <c r="D26" s="80">
        <f t="shared" si="0"/>
        <v>0</v>
      </c>
      <c r="E26" s="81">
        <f t="shared" si="1"/>
        <v>0</v>
      </c>
      <c r="F26" s="38" t="s">
        <v>29</v>
      </c>
      <c r="G26" s="37" t="s">
        <v>105</v>
      </c>
      <c r="H26" s="37" t="s">
        <v>100</v>
      </c>
    </row>
    <row r="27" spans="1:8" ht="12.75">
      <c r="A27" s="62" t="s">
        <v>61</v>
      </c>
      <c r="B27" s="63" t="s">
        <v>62</v>
      </c>
      <c r="C27" s="75">
        <v>0</v>
      </c>
      <c r="D27" s="80">
        <f t="shared" si="0"/>
        <v>0</v>
      </c>
      <c r="E27" s="81">
        <f t="shared" si="1"/>
        <v>0</v>
      </c>
      <c r="F27" s="38" t="s">
        <v>29</v>
      </c>
      <c r="G27" s="37" t="s">
        <v>105</v>
      </c>
      <c r="H27" s="37" t="s">
        <v>100</v>
      </c>
    </row>
    <row r="28" spans="1:8" ht="24">
      <c r="A28" s="62" t="s">
        <v>63</v>
      </c>
      <c r="B28" s="64" t="s">
        <v>64</v>
      </c>
      <c r="C28" s="75">
        <v>0</v>
      </c>
      <c r="D28" s="80">
        <f t="shared" si="0"/>
        <v>0</v>
      </c>
      <c r="E28" s="81">
        <f t="shared" si="1"/>
        <v>0</v>
      </c>
      <c r="F28" s="38" t="s">
        <v>29</v>
      </c>
      <c r="G28" s="37" t="s">
        <v>105</v>
      </c>
      <c r="H28" s="37" t="s">
        <v>100</v>
      </c>
    </row>
    <row r="29" spans="1:8" ht="24">
      <c r="A29" s="62" t="s">
        <v>65</v>
      </c>
      <c r="B29" s="64" t="s">
        <v>66</v>
      </c>
      <c r="C29" s="75">
        <v>7500</v>
      </c>
      <c r="D29" s="82">
        <f t="shared" si="0"/>
        <v>1425</v>
      </c>
      <c r="E29" s="83">
        <f t="shared" si="1"/>
        <v>8925</v>
      </c>
      <c r="F29" s="38" t="s">
        <v>30</v>
      </c>
      <c r="G29" s="37" t="s">
        <v>105</v>
      </c>
      <c r="H29" s="37" t="s">
        <v>100</v>
      </c>
    </row>
    <row r="30" spans="1:8" ht="24">
      <c r="A30" s="62" t="s">
        <v>67</v>
      </c>
      <c r="B30" s="64" t="s">
        <v>104</v>
      </c>
      <c r="C30" s="75">
        <v>5000</v>
      </c>
      <c r="D30" s="82">
        <f t="shared" si="0"/>
        <v>950</v>
      </c>
      <c r="E30" s="83">
        <f t="shared" si="1"/>
        <v>5950</v>
      </c>
      <c r="F30" s="38" t="s">
        <v>30</v>
      </c>
      <c r="G30" s="37" t="s">
        <v>105</v>
      </c>
      <c r="H30" s="37" t="s">
        <v>100</v>
      </c>
    </row>
    <row r="31" spans="1:8" ht="12.75">
      <c r="A31" s="62" t="s">
        <v>68</v>
      </c>
      <c r="B31" s="64" t="s">
        <v>69</v>
      </c>
      <c r="C31" s="75">
        <v>27000</v>
      </c>
      <c r="D31" s="82">
        <f t="shared" si="0"/>
        <v>5130</v>
      </c>
      <c r="E31" s="83">
        <f t="shared" si="1"/>
        <v>32130</v>
      </c>
      <c r="F31" s="38" t="s">
        <v>30</v>
      </c>
      <c r="G31" s="37" t="s">
        <v>105</v>
      </c>
      <c r="H31" s="37" t="s">
        <v>100</v>
      </c>
    </row>
    <row r="32" spans="1:16" s="18" customFormat="1" ht="12.75">
      <c r="A32" s="32" t="s">
        <v>12</v>
      </c>
      <c r="B32" s="21" t="s">
        <v>44</v>
      </c>
      <c r="C32" s="75">
        <v>0</v>
      </c>
      <c r="D32" s="76">
        <f t="shared" si="0"/>
        <v>0</v>
      </c>
      <c r="E32" s="77">
        <f t="shared" si="1"/>
        <v>0</v>
      </c>
      <c r="F32" s="41" t="s">
        <v>29</v>
      </c>
      <c r="G32" s="37" t="s">
        <v>105</v>
      </c>
      <c r="H32" s="37" t="s">
        <v>100</v>
      </c>
      <c r="I32" s="24"/>
      <c r="J32" s="24"/>
      <c r="K32" s="24"/>
      <c r="L32" s="24"/>
      <c r="M32" s="24"/>
      <c r="N32" s="24"/>
      <c r="O32" s="24"/>
      <c r="P32" s="24"/>
    </row>
    <row r="33" spans="1:16" s="18" customFormat="1" ht="12.75">
      <c r="A33" s="32" t="s">
        <v>70</v>
      </c>
      <c r="B33" s="21" t="s">
        <v>11</v>
      </c>
      <c r="C33" s="75">
        <v>15000</v>
      </c>
      <c r="D33" s="76">
        <f t="shared" si="0"/>
        <v>2850</v>
      </c>
      <c r="E33" s="77">
        <f t="shared" si="1"/>
        <v>17850</v>
      </c>
      <c r="F33" s="41" t="s">
        <v>29</v>
      </c>
      <c r="G33" s="37" t="s">
        <v>105</v>
      </c>
      <c r="H33" s="37" t="s">
        <v>100</v>
      </c>
      <c r="I33" s="24"/>
      <c r="J33" s="24"/>
      <c r="K33" s="24"/>
      <c r="L33" s="24"/>
      <c r="M33" s="24"/>
      <c r="N33" s="24"/>
      <c r="O33" s="24"/>
      <c r="P33" s="24"/>
    </row>
    <row r="34" spans="1:8" ht="12.75">
      <c r="A34" s="55" t="s">
        <v>71</v>
      </c>
      <c r="B34" s="56" t="s">
        <v>13</v>
      </c>
      <c r="C34" s="75">
        <v>33000</v>
      </c>
      <c r="D34" s="84">
        <f t="shared" si="0"/>
        <v>6270</v>
      </c>
      <c r="E34" s="85">
        <f t="shared" si="1"/>
        <v>39270</v>
      </c>
      <c r="F34" s="41" t="s">
        <v>29</v>
      </c>
      <c r="G34" s="37" t="s">
        <v>105</v>
      </c>
      <c r="H34" s="37" t="s">
        <v>100</v>
      </c>
    </row>
    <row r="35" spans="1:7" ht="15.75" thickBot="1">
      <c r="A35" s="57"/>
      <c r="B35" s="58" t="s">
        <v>35</v>
      </c>
      <c r="C35" s="86">
        <f>_xlfn.SUMIFS(C21:C34,$F$21:$F$34,"&lt;&gt;")</f>
        <v>91600</v>
      </c>
      <c r="D35" s="86">
        <f>_xlfn.SUMIFS(D21:D34,$F$21:$F$34,"&lt;&gt;")</f>
        <v>17404</v>
      </c>
      <c r="E35" s="87">
        <f>_xlfn.SUMIFS(E21:E34,$F$21:$F$34,"&lt;&gt;")</f>
        <v>109004</v>
      </c>
      <c r="F35" s="38"/>
      <c r="G35" s="37"/>
    </row>
    <row r="36" spans="1:7" ht="32.25" customHeight="1">
      <c r="A36" s="175" t="s">
        <v>45</v>
      </c>
      <c r="B36" s="176"/>
      <c r="C36" s="176"/>
      <c r="D36" s="176"/>
      <c r="E36" s="177"/>
      <c r="F36" s="38"/>
      <c r="G36" s="37"/>
    </row>
    <row r="37" spans="1:7" ht="12.75">
      <c r="A37" s="31" t="s">
        <v>14</v>
      </c>
      <c r="B37" s="21" t="s">
        <v>101</v>
      </c>
      <c r="C37" s="76">
        <f>C38+C39</f>
        <v>2207868.45</v>
      </c>
      <c r="D37" s="76">
        <f>D38+D39</f>
        <v>419495.01</v>
      </c>
      <c r="E37" s="77">
        <f>E38+E39</f>
        <v>2627363.46</v>
      </c>
      <c r="F37" s="38"/>
      <c r="G37" s="37"/>
    </row>
    <row r="38" spans="1:8" ht="12.75">
      <c r="A38" s="50" t="str">
        <f>A37&amp;".1"</f>
        <v>4.1.1</v>
      </c>
      <c r="B38" s="49" t="s">
        <v>102</v>
      </c>
      <c r="C38" s="75">
        <v>2207868.45</v>
      </c>
      <c r="D38" s="80">
        <f>ROUND(0.19*C38,2)</f>
        <v>419495.01</v>
      </c>
      <c r="E38" s="81">
        <f>D38+C38</f>
        <v>2627363.46</v>
      </c>
      <c r="F38" s="38" t="s">
        <v>30</v>
      </c>
      <c r="G38" s="37" t="s">
        <v>105</v>
      </c>
      <c r="H38" s="37" t="s">
        <v>105</v>
      </c>
    </row>
    <row r="39" spans="1:8" ht="12.75">
      <c r="A39" s="50" t="str">
        <f>A37&amp;".2"</f>
        <v>4.1.2</v>
      </c>
      <c r="B39" s="11" t="s">
        <v>103</v>
      </c>
      <c r="C39" s="75">
        <v>0</v>
      </c>
      <c r="D39" s="80">
        <f>ROUND(0.19*C39,2)</f>
        <v>0</v>
      </c>
      <c r="E39" s="81">
        <f>D39+C39</f>
        <v>0</v>
      </c>
      <c r="F39" s="38" t="s">
        <v>30</v>
      </c>
      <c r="G39" s="37" t="s">
        <v>100</v>
      </c>
      <c r="H39" s="37" t="s">
        <v>105</v>
      </c>
    </row>
    <row r="40" spans="1:8" ht="12.75">
      <c r="A40" s="31" t="s">
        <v>15</v>
      </c>
      <c r="B40" s="21" t="s">
        <v>72</v>
      </c>
      <c r="C40" s="76">
        <f>C41+C42</f>
        <v>13530</v>
      </c>
      <c r="D40" s="76">
        <f>D41+D42</f>
        <v>2570.7</v>
      </c>
      <c r="E40" s="77">
        <f>E41+E42</f>
        <v>16100.7</v>
      </c>
      <c r="F40" s="38"/>
      <c r="G40" s="37"/>
      <c r="H40" s="37"/>
    </row>
    <row r="41" spans="1:8" ht="12.75">
      <c r="A41" s="50" t="str">
        <f>A40&amp;".1"</f>
        <v>4.2.1</v>
      </c>
      <c r="B41" s="49" t="s">
        <v>102</v>
      </c>
      <c r="C41" s="75">
        <v>13530</v>
      </c>
      <c r="D41" s="80">
        <f>ROUND(0.19*C41,2)</f>
        <v>2570.7</v>
      </c>
      <c r="E41" s="81">
        <f>D41+C41</f>
        <v>16100.7</v>
      </c>
      <c r="F41" s="38" t="s">
        <v>30</v>
      </c>
      <c r="G41" s="37" t="s">
        <v>105</v>
      </c>
      <c r="H41" s="37" t="s">
        <v>105</v>
      </c>
    </row>
    <row r="42" spans="1:8" ht="12.75">
      <c r="A42" s="50" t="str">
        <f>A40&amp;".2"</f>
        <v>4.2.2</v>
      </c>
      <c r="B42" s="11" t="s">
        <v>103</v>
      </c>
      <c r="C42" s="75">
        <v>0</v>
      </c>
      <c r="D42" s="80">
        <f>ROUND(0.19*C42,2)</f>
        <v>0</v>
      </c>
      <c r="E42" s="81">
        <f>D42+C42</f>
        <v>0</v>
      </c>
      <c r="F42" s="38" t="s">
        <v>30</v>
      </c>
      <c r="G42" s="37" t="s">
        <v>100</v>
      </c>
      <c r="H42" s="37" t="s">
        <v>105</v>
      </c>
    </row>
    <row r="43" spans="1:8" ht="25.5">
      <c r="A43" s="31" t="s">
        <v>16</v>
      </c>
      <c r="B43" s="21" t="s">
        <v>73</v>
      </c>
      <c r="C43" s="76">
        <f>C44+C45</f>
        <v>159900</v>
      </c>
      <c r="D43" s="76">
        <f>D44+D45</f>
        <v>30381</v>
      </c>
      <c r="E43" s="77">
        <f>E44+E45</f>
        <v>190281</v>
      </c>
      <c r="F43" s="38"/>
      <c r="G43" s="37"/>
      <c r="H43" s="37"/>
    </row>
    <row r="44" spans="1:8" ht="12.75">
      <c r="A44" s="50" t="str">
        <f>A43&amp;".1"</f>
        <v>4.3.1</v>
      </c>
      <c r="B44" s="49" t="s">
        <v>102</v>
      </c>
      <c r="C44" s="75">
        <v>159900</v>
      </c>
      <c r="D44" s="80">
        <f>ROUND(0.19*C44,2)</f>
        <v>30381</v>
      </c>
      <c r="E44" s="81">
        <f>D44+C44</f>
        <v>190281</v>
      </c>
      <c r="F44" s="38" t="s">
        <v>30</v>
      </c>
      <c r="G44" s="37" t="s">
        <v>105</v>
      </c>
      <c r="H44" s="37" t="s">
        <v>100</v>
      </c>
    </row>
    <row r="45" spans="1:8" ht="12.75">
      <c r="A45" s="50" t="str">
        <f>A43&amp;".2"</f>
        <v>4.3.2</v>
      </c>
      <c r="B45" s="11" t="s">
        <v>103</v>
      </c>
      <c r="C45" s="75">
        <v>0</v>
      </c>
      <c r="D45" s="80">
        <f>ROUND(0.19*C45,2)</f>
        <v>0</v>
      </c>
      <c r="E45" s="81">
        <f>D45+C45</f>
        <v>0</v>
      </c>
      <c r="F45" s="38" t="s">
        <v>30</v>
      </c>
      <c r="G45" s="37" t="s">
        <v>100</v>
      </c>
      <c r="H45" s="37" t="s">
        <v>100</v>
      </c>
    </row>
    <row r="46" spans="1:16" s="23" customFormat="1" ht="25.5">
      <c r="A46" s="31" t="s">
        <v>17</v>
      </c>
      <c r="B46" s="21" t="s">
        <v>74</v>
      </c>
      <c r="C46" s="76">
        <f>C47+C48</f>
        <v>0</v>
      </c>
      <c r="D46" s="76">
        <f>D47+D48</f>
        <v>0</v>
      </c>
      <c r="E46" s="77">
        <f>E47+E48</f>
        <v>0</v>
      </c>
      <c r="F46" s="39"/>
      <c r="G46" s="37"/>
      <c r="H46" s="37"/>
      <c r="I46" s="25"/>
      <c r="J46" s="25"/>
      <c r="K46" s="25"/>
      <c r="L46" s="25"/>
      <c r="M46" s="25"/>
      <c r="N46" s="25"/>
      <c r="O46" s="25"/>
      <c r="P46" s="25"/>
    </row>
    <row r="47" spans="1:8" ht="12.75">
      <c r="A47" s="50" t="str">
        <f>A46&amp;".1"</f>
        <v>4.4.1</v>
      </c>
      <c r="B47" s="49" t="s">
        <v>102</v>
      </c>
      <c r="C47" s="75">
        <v>0</v>
      </c>
      <c r="D47" s="80">
        <f>ROUND(0.19*C47,2)</f>
        <v>0</v>
      </c>
      <c r="E47" s="81">
        <f>D47+C47</f>
        <v>0</v>
      </c>
      <c r="F47" s="38" t="s">
        <v>30</v>
      </c>
      <c r="G47" s="37" t="s">
        <v>105</v>
      </c>
      <c r="H47" s="37" t="s">
        <v>100</v>
      </c>
    </row>
    <row r="48" spans="1:8" ht="12.75">
      <c r="A48" s="50" t="str">
        <f>A46&amp;".2"</f>
        <v>4.4.2</v>
      </c>
      <c r="B48" s="11" t="s">
        <v>103</v>
      </c>
      <c r="C48" s="75">
        <v>0</v>
      </c>
      <c r="D48" s="80">
        <f>ROUND(0.19*C48,2)</f>
        <v>0</v>
      </c>
      <c r="E48" s="81">
        <f>D48+C48</f>
        <v>0</v>
      </c>
      <c r="F48" s="38" t="s">
        <v>30</v>
      </c>
      <c r="G48" s="37" t="s">
        <v>100</v>
      </c>
      <c r="H48" s="37" t="s">
        <v>100</v>
      </c>
    </row>
    <row r="49" spans="1:8" ht="12.75">
      <c r="A49" s="31" t="s">
        <v>18</v>
      </c>
      <c r="B49" s="21" t="s">
        <v>46</v>
      </c>
      <c r="C49" s="76">
        <f>C50+C51</f>
        <v>0</v>
      </c>
      <c r="D49" s="76">
        <f>D50+D51</f>
        <v>0</v>
      </c>
      <c r="E49" s="77">
        <f>E50+E51</f>
        <v>0</v>
      </c>
      <c r="F49" s="38"/>
      <c r="G49" s="37"/>
      <c r="H49" s="37"/>
    </row>
    <row r="50" spans="1:8" ht="12.75">
      <c r="A50" s="50" t="str">
        <f>A49&amp;".1"</f>
        <v>4.5.1</v>
      </c>
      <c r="B50" s="49" t="s">
        <v>102</v>
      </c>
      <c r="C50" s="75">
        <v>0</v>
      </c>
      <c r="D50" s="80">
        <f>ROUND(0.19*C50,2)</f>
        <v>0</v>
      </c>
      <c r="E50" s="81">
        <f>D50+C50</f>
        <v>0</v>
      </c>
      <c r="F50" s="38" t="s">
        <v>30</v>
      </c>
      <c r="G50" s="37" t="s">
        <v>105</v>
      </c>
      <c r="H50" s="37" t="s">
        <v>100</v>
      </c>
    </row>
    <row r="51" spans="1:8" ht="12.75">
      <c r="A51" s="50" t="str">
        <f>A49&amp;".2"</f>
        <v>4.5.2</v>
      </c>
      <c r="B51" s="11" t="s">
        <v>103</v>
      </c>
      <c r="C51" s="75">
        <v>0</v>
      </c>
      <c r="D51" s="80">
        <f>ROUND(0.19*C51,2)</f>
        <v>0</v>
      </c>
      <c r="E51" s="81">
        <f>D51+C51</f>
        <v>0</v>
      </c>
      <c r="F51" s="38" t="s">
        <v>30</v>
      </c>
      <c r="G51" s="37" t="s">
        <v>100</v>
      </c>
      <c r="H51" s="37" t="s">
        <v>100</v>
      </c>
    </row>
    <row r="52" spans="1:8" ht="12.75">
      <c r="A52" s="31" t="s">
        <v>26</v>
      </c>
      <c r="B52" s="21" t="s">
        <v>27</v>
      </c>
      <c r="C52" s="76">
        <f>C53+C54</f>
        <v>0</v>
      </c>
      <c r="D52" s="76">
        <f>D53+D54</f>
        <v>0</v>
      </c>
      <c r="E52" s="77">
        <f>E53+E54</f>
        <v>0</v>
      </c>
      <c r="F52" s="38"/>
      <c r="G52" s="37"/>
      <c r="H52" s="37"/>
    </row>
    <row r="53" spans="1:8" ht="12.75">
      <c r="A53" s="50" t="str">
        <f>A52&amp;".1"</f>
        <v>4.6.1</v>
      </c>
      <c r="B53" s="49" t="s">
        <v>102</v>
      </c>
      <c r="C53" s="75">
        <v>0</v>
      </c>
      <c r="D53" s="80">
        <f>ROUND(0.19*C53,2)</f>
        <v>0</v>
      </c>
      <c r="E53" s="81">
        <f>D53+C53</f>
        <v>0</v>
      </c>
      <c r="F53" s="38" t="s">
        <v>30</v>
      </c>
      <c r="G53" s="37" t="s">
        <v>105</v>
      </c>
      <c r="H53" s="37" t="s">
        <v>100</v>
      </c>
    </row>
    <row r="54" spans="1:8" ht="12.75">
      <c r="A54" s="50" t="str">
        <f>A52&amp;".2"</f>
        <v>4.6.2</v>
      </c>
      <c r="B54" s="11" t="s">
        <v>103</v>
      </c>
      <c r="C54" s="75">
        <v>0</v>
      </c>
      <c r="D54" s="80">
        <f>ROUND(0.19*C54,2)</f>
        <v>0</v>
      </c>
      <c r="E54" s="81">
        <f>D54+C54</f>
        <v>0</v>
      </c>
      <c r="F54" s="38" t="s">
        <v>30</v>
      </c>
      <c r="G54" s="37" t="s">
        <v>100</v>
      </c>
      <c r="H54" s="37" t="s">
        <v>100</v>
      </c>
    </row>
    <row r="55" spans="1:8" ht="15" thickBot="1">
      <c r="A55" s="51"/>
      <c r="B55" s="58" t="s">
        <v>34</v>
      </c>
      <c r="C55" s="86">
        <f>_xlfn.SUMIFS(C37:C54,$F$37:$F$54,"&lt;&gt;")</f>
        <v>2381298.45</v>
      </c>
      <c r="D55" s="86">
        <f>_xlfn.SUMIFS(D37:D54,$F$37:$F$54,"&lt;&gt;")</f>
        <v>452446.71</v>
      </c>
      <c r="E55" s="87">
        <f>_xlfn.SUMIFS(E37:E54,$F$37:$F$54,"&lt;&gt;")</f>
        <v>2833745.16</v>
      </c>
      <c r="F55" s="38"/>
      <c r="G55" s="37"/>
      <c r="H55" s="37"/>
    </row>
    <row r="56" spans="1:8" ht="33" customHeight="1">
      <c r="A56" s="172" t="s">
        <v>19</v>
      </c>
      <c r="B56" s="173"/>
      <c r="C56" s="173"/>
      <c r="D56" s="173"/>
      <c r="E56" s="174"/>
      <c r="F56" s="38"/>
      <c r="G56" s="37"/>
      <c r="H56" s="37"/>
    </row>
    <row r="57" spans="1:8" ht="12.75">
      <c r="A57" s="31" t="s">
        <v>20</v>
      </c>
      <c r="B57" s="46" t="s">
        <v>89</v>
      </c>
      <c r="C57" s="76">
        <f>C58+C59</f>
        <v>22000</v>
      </c>
      <c r="D57" s="76">
        <f>D58+D59</f>
        <v>4180</v>
      </c>
      <c r="E57" s="77">
        <f>E58+E59</f>
        <v>26180</v>
      </c>
      <c r="F57" s="38"/>
      <c r="G57" s="37"/>
      <c r="H57" s="37"/>
    </row>
    <row r="58" spans="1:8" ht="25.5">
      <c r="A58" s="48" t="s">
        <v>33</v>
      </c>
      <c r="B58" s="49" t="s">
        <v>75</v>
      </c>
      <c r="C58" s="75">
        <v>14000</v>
      </c>
      <c r="D58" s="76">
        <f>ROUND(0.19*C58,2)</f>
        <v>2660</v>
      </c>
      <c r="E58" s="77">
        <f>D58+C58</f>
        <v>16660</v>
      </c>
      <c r="F58" s="38" t="s">
        <v>30</v>
      </c>
      <c r="G58" s="37" t="s">
        <v>105</v>
      </c>
      <c r="H58" s="37" t="s">
        <v>105</v>
      </c>
    </row>
    <row r="59" spans="1:8" ht="12.75">
      <c r="A59" s="48" t="s">
        <v>47</v>
      </c>
      <c r="B59" s="11" t="s">
        <v>76</v>
      </c>
      <c r="C59" s="75">
        <v>8000</v>
      </c>
      <c r="D59" s="76">
        <f>ROUND(0.19*C59,2)</f>
        <v>1520</v>
      </c>
      <c r="E59" s="77">
        <f>D59+C59</f>
        <v>9520</v>
      </c>
      <c r="F59" s="38" t="s">
        <v>29</v>
      </c>
      <c r="G59" s="37" t="s">
        <v>105</v>
      </c>
      <c r="H59" s="37" t="s">
        <v>100</v>
      </c>
    </row>
    <row r="60" spans="1:8" ht="12.75">
      <c r="A60" s="31" t="s">
        <v>21</v>
      </c>
      <c r="B60" s="21" t="s">
        <v>48</v>
      </c>
      <c r="C60" s="76">
        <f>SUM(C61:C65)</f>
        <v>24754.379999999997</v>
      </c>
      <c r="D60" s="76">
        <f>SUM(D61:D65)</f>
        <v>0</v>
      </c>
      <c r="E60" s="77">
        <f>SUM(E61:E65)</f>
        <v>24754.379999999997</v>
      </c>
      <c r="F60" s="38"/>
      <c r="G60" s="37"/>
      <c r="H60" s="37"/>
    </row>
    <row r="61" spans="1:8" ht="25.5">
      <c r="A61" s="30" t="s">
        <v>77</v>
      </c>
      <c r="B61" s="19" t="s">
        <v>78</v>
      </c>
      <c r="C61" s="75">
        <v>0</v>
      </c>
      <c r="D61" s="76">
        <f>ROUND(0.19*C61,2)</f>
        <v>0</v>
      </c>
      <c r="E61" s="77">
        <f aca="true" t="shared" si="2" ref="E61:E67">D61+C61</f>
        <v>0</v>
      </c>
      <c r="F61" s="38" t="s">
        <v>29</v>
      </c>
      <c r="G61" s="37" t="s">
        <v>105</v>
      </c>
      <c r="H61" s="37" t="s">
        <v>100</v>
      </c>
    </row>
    <row r="62" spans="1:8" s="20" customFormat="1" ht="25.5">
      <c r="A62" s="30" t="s">
        <v>79</v>
      </c>
      <c r="B62" s="19" t="s">
        <v>80</v>
      </c>
      <c r="C62" s="75">
        <v>11251.99</v>
      </c>
      <c r="D62" s="76">
        <f>ROUND(0*C62,2)</f>
        <v>0</v>
      </c>
      <c r="E62" s="77">
        <f t="shared" si="2"/>
        <v>11251.99</v>
      </c>
      <c r="F62" s="38" t="s">
        <v>30</v>
      </c>
      <c r="G62" s="37" t="s">
        <v>105</v>
      </c>
      <c r="H62" s="37" t="s">
        <v>100</v>
      </c>
    </row>
    <row r="63" spans="1:8" s="20" customFormat="1" ht="38.25">
      <c r="A63" s="30" t="s">
        <v>81</v>
      </c>
      <c r="B63" s="19" t="s">
        <v>82</v>
      </c>
      <c r="C63" s="75">
        <v>2250.4</v>
      </c>
      <c r="D63" s="76">
        <f>ROUND(0*C63,2)</f>
        <v>0</v>
      </c>
      <c r="E63" s="77">
        <f t="shared" si="2"/>
        <v>2250.4</v>
      </c>
      <c r="F63" s="38" t="s">
        <v>30</v>
      </c>
      <c r="G63" s="39" t="s">
        <v>105</v>
      </c>
      <c r="H63" s="39" t="s">
        <v>100</v>
      </c>
    </row>
    <row r="64" spans="1:8" s="20" customFormat="1" ht="12.75">
      <c r="A64" s="30" t="s">
        <v>83</v>
      </c>
      <c r="B64" s="19" t="s">
        <v>84</v>
      </c>
      <c r="C64" s="75">
        <v>11251.99</v>
      </c>
      <c r="D64" s="76">
        <f>ROUND(0*C64,2)</f>
        <v>0</v>
      </c>
      <c r="E64" s="77">
        <f t="shared" si="2"/>
        <v>11251.99</v>
      </c>
      <c r="F64" s="38" t="s">
        <v>30</v>
      </c>
      <c r="G64" s="37" t="s">
        <v>105</v>
      </c>
      <c r="H64" s="37" t="s">
        <v>100</v>
      </c>
    </row>
    <row r="65" spans="1:8" ht="25.5">
      <c r="A65" s="30" t="s">
        <v>85</v>
      </c>
      <c r="B65" s="19" t="s">
        <v>86</v>
      </c>
      <c r="C65" s="75"/>
      <c r="D65" s="76">
        <f>ROUND(0.19*C65,2)</f>
        <v>0</v>
      </c>
      <c r="E65" s="77">
        <f t="shared" si="2"/>
        <v>0</v>
      </c>
      <c r="F65" s="38" t="s">
        <v>29</v>
      </c>
      <c r="G65" s="39" t="s">
        <v>105</v>
      </c>
      <c r="H65" s="39" t="s">
        <v>100</v>
      </c>
    </row>
    <row r="66" spans="1:8" ht="12.75">
      <c r="A66" s="31" t="s">
        <v>22</v>
      </c>
      <c r="B66" s="21" t="s">
        <v>31</v>
      </c>
      <c r="C66" s="75">
        <v>49375.97</v>
      </c>
      <c r="D66" s="76">
        <f>ROUND(0.19*C66,2)</f>
        <v>9381.43</v>
      </c>
      <c r="E66" s="77">
        <f t="shared" si="2"/>
        <v>58757.4</v>
      </c>
      <c r="F66" s="38" t="s">
        <v>30</v>
      </c>
      <c r="G66" s="37" t="s">
        <v>105</v>
      </c>
      <c r="H66" s="37" t="s">
        <v>100</v>
      </c>
    </row>
    <row r="67" spans="1:8" ht="12.75">
      <c r="A67" s="32" t="s">
        <v>87</v>
      </c>
      <c r="B67" s="21" t="s">
        <v>88</v>
      </c>
      <c r="C67" s="75">
        <v>7900</v>
      </c>
      <c r="D67" s="76">
        <f>ROUND(0.19*C67,2)</f>
        <v>1501</v>
      </c>
      <c r="E67" s="77">
        <f t="shared" si="2"/>
        <v>9401</v>
      </c>
      <c r="F67" s="38" t="s">
        <v>29</v>
      </c>
      <c r="G67" s="37" t="s">
        <v>105</v>
      </c>
      <c r="H67" s="37" t="s">
        <v>100</v>
      </c>
    </row>
    <row r="68" spans="1:8" ht="15" thickBot="1">
      <c r="A68" s="51"/>
      <c r="B68" s="61" t="s">
        <v>36</v>
      </c>
      <c r="C68" s="86">
        <f>_xlfn.SUMIFS(C57:C67,$F$57:$F$67,"&lt;&gt;")</f>
        <v>104030.35</v>
      </c>
      <c r="D68" s="86">
        <f>_xlfn.SUMIFS(D57:D67,$F$57:$F$67,"&lt;&gt;")</f>
        <v>15062.43</v>
      </c>
      <c r="E68" s="87">
        <f>_xlfn.SUMIFS(E57:E67,$F$57:$F$67,"&lt;&gt;")</f>
        <v>119092.78</v>
      </c>
      <c r="F68" s="38"/>
      <c r="G68" s="37"/>
      <c r="H68" s="37"/>
    </row>
    <row r="69" spans="1:8" ht="33" customHeight="1">
      <c r="A69" s="172" t="s">
        <v>90</v>
      </c>
      <c r="B69" s="173"/>
      <c r="C69" s="173"/>
      <c r="D69" s="173"/>
      <c r="E69" s="174"/>
      <c r="F69" s="38"/>
      <c r="G69" s="37"/>
      <c r="H69" s="37"/>
    </row>
    <row r="70" spans="1:8" ht="12.75">
      <c r="A70" s="31" t="s">
        <v>23</v>
      </c>
      <c r="B70" s="21" t="s">
        <v>91</v>
      </c>
      <c r="C70" s="75">
        <v>0</v>
      </c>
      <c r="D70" s="76">
        <f>0.19*C70</f>
        <v>0</v>
      </c>
      <c r="E70" s="77">
        <f>C70*1.19</f>
        <v>0</v>
      </c>
      <c r="F70" s="38" t="s">
        <v>29</v>
      </c>
      <c r="G70" s="37" t="s">
        <v>105</v>
      </c>
      <c r="H70" s="37" t="s">
        <v>100</v>
      </c>
    </row>
    <row r="71" spans="1:8" ht="12.75">
      <c r="A71" s="31" t="s">
        <v>24</v>
      </c>
      <c r="B71" s="21" t="s">
        <v>49</v>
      </c>
      <c r="C71" s="75">
        <v>3200</v>
      </c>
      <c r="D71" s="76">
        <f>ROUND(0.19*C71,2)</f>
        <v>608</v>
      </c>
      <c r="E71" s="77">
        <f>D71+C71</f>
        <v>3808</v>
      </c>
      <c r="F71" s="38" t="s">
        <v>30</v>
      </c>
      <c r="G71" s="37" t="s">
        <v>105</v>
      </c>
      <c r="H71" s="37" t="s">
        <v>100</v>
      </c>
    </row>
    <row r="72" spans="1:7" ht="15" thickBot="1">
      <c r="A72" s="51"/>
      <c r="B72" s="58" t="s">
        <v>37</v>
      </c>
      <c r="C72" s="86">
        <f>_xlfn.SUMIFS(C70:C71,$F$70:$F$71,"&lt;&gt;")</f>
        <v>3200</v>
      </c>
      <c r="D72" s="86">
        <f>_xlfn.SUMIFS(D70:D71,$F$70:$F$71,"&lt;&gt;")</f>
        <v>608</v>
      </c>
      <c r="E72" s="87">
        <f>_xlfn.SUMIFS(E70:E71,$F$70:$F$71,"&lt;&gt;")</f>
        <v>3808</v>
      </c>
      <c r="F72" s="38"/>
      <c r="G72" s="37"/>
    </row>
    <row r="73" spans="1:7" ht="16.5" thickBot="1">
      <c r="A73" s="88"/>
      <c r="B73" s="89" t="s">
        <v>32</v>
      </c>
      <c r="C73" s="101">
        <f>_xlfn.SUMIFS(C12:C72,$F$12:$F$72,"&lt;&gt;")</f>
        <v>2595128.8000000007</v>
      </c>
      <c r="D73" s="101">
        <f>_xlfn.SUMIFS(D12:D72,$F$12:$F$72,"&lt;&gt;")</f>
        <v>488371.14</v>
      </c>
      <c r="E73" s="102">
        <f>_xlfn.SUMIFS(E12:E72,$F$12:$F$72,"&lt;&gt;")</f>
        <v>3083499.9400000004</v>
      </c>
      <c r="F73" s="38"/>
      <c r="G73" s="37"/>
    </row>
    <row r="74" spans="1:7" ht="29.25" thickBot="1">
      <c r="A74" s="90"/>
      <c r="B74" s="91" t="s">
        <v>92</v>
      </c>
      <c r="C74" s="101">
        <f>_xlfn.SUMIFS(C12:C72,$H$12:$H$72,"da")</f>
        <v>2250398.45</v>
      </c>
      <c r="D74" s="101">
        <f>_xlfn.SUMIFS(D12:D72,$H$12:$H$72,"da")</f>
        <v>427575.71</v>
      </c>
      <c r="E74" s="102">
        <f>_xlfn.SUMIFS(E12:E72,$H$12:$H$72,"da")</f>
        <v>2677974.16</v>
      </c>
      <c r="F74" s="38"/>
      <c r="G74" s="37"/>
    </row>
    <row r="75" spans="1:6" ht="12.75">
      <c r="A75" s="52"/>
      <c r="B75" s="53"/>
      <c r="C75" s="54"/>
      <c r="D75" s="54"/>
      <c r="E75" s="54"/>
      <c r="F75" s="3"/>
    </row>
    <row r="76" spans="1:6" ht="12.75">
      <c r="A76" s="52"/>
      <c r="B76" s="53"/>
      <c r="C76" s="54"/>
      <c r="D76" s="54"/>
      <c r="E76" s="54"/>
      <c r="F76" s="3"/>
    </row>
    <row r="77" spans="1:6" ht="12.75">
      <c r="A77" s="52"/>
      <c r="B77" s="53"/>
      <c r="C77" s="54"/>
      <c r="D77" s="54"/>
      <c r="E77" s="54"/>
      <c r="F77" s="3"/>
    </row>
    <row r="78" spans="1:6" ht="15.75">
      <c r="A78" s="52"/>
      <c r="B78" s="92" t="s">
        <v>98</v>
      </c>
      <c r="C78" s="94">
        <f>E73</f>
        <v>3083499.9400000004</v>
      </c>
      <c r="D78" s="54"/>
      <c r="E78" s="54"/>
      <c r="F78" s="3"/>
    </row>
    <row r="79" spans="1:6" ht="15.75">
      <c r="A79" s="52"/>
      <c r="B79" s="93" t="s">
        <v>30</v>
      </c>
      <c r="C79" s="94">
        <f>_xlfn.SUMIFS(E12:E71,F12:F71,"=buget de stat")</f>
        <v>3002579.9400000004</v>
      </c>
      <c r="D79" s="54"/>
      <c r="E79" s="54"/>
      <c r="F79" s="3"/>
    </row>
    <row r="80" spans="1:6" ht="15.75">
      <c r="A80" s="52"/>
      <c r="B80" s="93" t="s">
        <v>29</v>
      </c>
      <c r="C80" s="94">
        <f>_xlfn.SUMIFS(E13:E72,F13:F72,"=buget local")</f>
        <v>80920</v>
      </c>
      <c r="D80" s="54"/>
      <c r="E80" s="54"/>
      <c r="F80" s="3"/>
    </row>
    <row r="81" spans="1:6" ht="12.75">
      <c r="A81" s="6"/>
      <c r="B81" s="12"/>
      <c r="C81" s="12"/>
      <c r="D81" s="2"/>
      <c r="E81" s="2"/>
      <c r="F81" s="3"/>
    </row>
    <row r="82" spans="1:6" ht="31.5">
      <c r="A82" s="6"/>
      <c r="B82" s="103" t="s">
        <v>113</v>
      </c>
      <c r="C82" s="104" t="s">
        <v>108</v>
      </c>
      <c r="D82" s="104" t="s">
        <v>109</v>
      </c>
      <c r="E82" s="96"/>
      <c r="F82" s="97"/>
    </row>
    <row r="83" spans="1:6" ht="15.75">
      <c r="A83" s="6"/>
      <c r="B83" s="93" t="s">
        <v>110</v>
      </c>
      <c r="C83" s="105">
        <f>_xlfn.SUMIFS(C37:C54,G37:G54,"=da")</f>
        <v>2381298.45</v>
      </c>
      <c r="D83" s="105">
        <f>_xlfn.SUMIFS(C37:C54,G37:G54,"=nu")</f>
        <v>0</v>
      </c>
      <c r="E83" s="96"/>
      <c r="F83" s="97"/>
    </row>
    <row r="84" spans="1:7" ht="15.75">
      <c r="A84" s="6"/>
      <c r="B84" s="93" t="s">
        <v>111</v>
      </c>
      <c r="C84" s="105">
        <f>C83/(C83+D83)*(_xlfn.SUMIFS(C13:C71,G13:G71,"=da")-C83)+C83</f>
        <v>2595128.8000000007</v>
      </c>
      <c r="D84" s="105">
        <f>C73-C84</f>
        <v>0</v>
      </c>
      <c r="E84" s="96"/>
      <c r="F84" s="97"/>
      <c r="G84" s="106"/>
    </row>
    <row r="85" spans="1:6" ht="15.75">
      <c r="A85" s="6"/>
      <c r="B85" s="93" t="s">
        <v>115</v>
      </c>
      <c r="C85" s="105">
        <f>'Deviz  pe Obiect APA'!C80</f>
        <v>2412.342540961539</v>
      </c>
      <c r="D85" s="105"/>
      <c r="E85" s="96"/>
      <c r="F85" s="97"/>
    </row>
    <row r="86" spans="1:6" ht="15.75">
      <c r="A86" s="6"/>
      <c r="B86" s="93" t="s">
        <v>116</v>
      </c>
      <c r="C86" s="105">
        <f>'Deviz  pe Obiect APA'!C81</f>
        <v>485.46870478789697</v>
      </c>
      <c r="D86" s="105"/>
      <c r="E86" s="96"/>
      <c r="F86" s="97"/>
    </row>
    <row r="87" spans="1:6" ht="15.75">
      <c r="A87" s="6"/>
      <c r="B87" s="93" t="s">
        <v>117</v>
      </c>
      <c r="C87" s="105">
        <f>'Deviz pe Obiect Canal'!C81</f>
        <v>7568.922074423077</v>
      </c>
      <c r="D87" s="105"/>
      <c r="E87" s="96"/>
      <c r="F87" s="97"/>
    </row>
    <row r="88" spans="1:6" ht="26.25" customHeight="1">
      <c r="A88" s="6"/>
      <c r="B88" s="114" t="s">
        <v>118</v>
      </c>
      <c r="C88" s="105">
        <f>'Deviz pe Obiect Canal'!C82</f>
        <v>1523.1977771473862</v>
      </c>
      <c r="D88" s="105"/>
      <c r="E88" s="96"/>
      <c r="F88" s="97"/>
    </row>
    <row r="89" spans="1:6" ht="15.75">
      <c r="A89" s="6"/>
      <c r="D89" s="95"/>
      <c r="E89" s="95"/>
      <c r="F89" s="98"/>
    </row>
    <row r="90" spans="1:6" ht="15.75">
      <c r="A90" s="7"/>
      <c r="B90" s="93" t="s">
        <v>106</v>
      </c>
      <c r="C90" s="161">
        <v>45188</v>
      </c>
      <c r="D90" s="99"/>
      <c r="E90" s="99"/>
      <c r="F90" s="98"/>
    </row>
    <row r="91" spans="1:6" ht="15.75">
      <c r="A91" s="13"/>
      <c r="B91" s="93" t="s">
        <v>107</v>
      </c>
      <c r="C91" s="162">
        <v>4.9691</v>
      </c>
      <c r="D91" s="95"/>
      <c r="E91" s="95"/>
      <c r="F91" s="98"/>
    </row>
    <row r="92" spans="1:5" ht="63">
      <c r="A92" s="13"/>
      <c r="B92" s="107" t="s">
        <v>120</v>
      </c>
      <c r="C92" s="114" t="s">
        <v>129</v>
      </c>
      <c r="D92" s="96"/>
      <c r="E92" s="96"/>
    </row>
    <row r="93" spans="1:3" ht="64.5" customHeight="1">
      <c r="A93" s="13"/>
      <c r="B93" s="107" t="s">
        <v>121</v>
      </c>
      <c r="C93" s="114" t="s">
        <v>129</v>
      </c>
    </row>
    <row r="94" spans="1:5" ht="12.75">
      <c r="A94" s="13"/>
      <c r="B94" s="14"/>
      <c r="C94" s="15"/>
      <c r="D94" s="16"/>
      <c r="E94" s="16"/>
    </row>
    <row r="95" spans="1:5" ht="12.75">
      <c r="A95" s="13"/>
      <c r="B95" s="14"/>
      <c r="C95" s="15"/>
      <c r="D95" s="16"/>
      <c r="E95" s="16"/>
    </row>
    <row r="96" spans="1:5" ht="15.75">
      <c r="A96" s="108"/>
      <c r="B96" s="109" t="s">
        <v>25</v>
      </c>
      <c r="C96" s="110"/>
      <c r="D96" s="111"/>
      <c r="E96" s="100"/>
    </row>
    <row r="97" spans="2:5" ht="15.75">
      <c r="B97" s="112" t="s">
        <v>114</v>
      </c>
      <c r="C97" s="95"/>
      <c r="D97" s="113" t="s">
        <v>122</v>
      </c>
      <c r="E97" s="95"/>
    </row>
    <row r="98" spans="2:5" ht="15.75">
      <c r="B98" s="112" t="s">
        <v>123</v>
      </c>
      <c r="C98" s="95"/>
      <c r="D98" s="95" t="s">
        <v>124</v>
      </c>
      <c r="E98" s="95"/>
    </row>
    <row r="99" spans="2:5" ht="15.75">
      <c r="B99" s="95"/>
      <c r="C99" s="95"/>
      <c r="D99" s="95"/>
      <c r="E99" s="95"/>
    </row>
    <row r="106" ht="12.75">
      <c r="B106" s="4" t="s">
        <v>125</v>
      </c>
    </row>
    <row r="107" ht="12.75">
      <c r="B107" s="4" t="s">
        <v>130</v>
      </c>
    </row>
    <row r="109" ht="12.75">
      <c r="C109" s="34" t="s">
        <v>135</v>
      </c>
    </row>
    <row r="110" spans="2:4" ht="12.75">
      <c r="B110" s="171" t="s">
        <v>136</v>
      </c>
      <c r="D110" s="171" t="s">
        <v>137</v>
      </c>
    </row>
  </sheetData>
  <sheetProtection/>
  <mergeCells count="11">
    <mergeCell ref="B1:D3"/>
    <mergeCell ref="A5:E5"/>
    <mergeCell ref="A7:A9"/>
    <mergeCell ref="B7:B9"/>
    <mergeCell ref="C7:E7"/>
    <mergeCell ref="A69:E69"/>
    <mergeCell ref="A36:E36"/>
    <mergeCell ref="A56:E56"/>
    <mergeCell ref="A17:E17"/>
    <mergeCell ref="A20:E20"/>
    <mergeCell ref="A11:E11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90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81" r:id="rId1"/>
  <ignoredErrors>
    <ignoredError sqref="A26:A31 A58:A59 A61:A63 A64:A65" twoDigitTextYear="1"/>
    <ignoredError sqref="D25:E25 D40" formula="1"/>
    <ignoredError sqref="C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77">
      <selection activeCell="B98" sqref="B98:D99"/>
    </sheetView>
  </sheetViews>
  <sheetFormatPr defaultColWidth="9.140625" defaultRowHeight="12.75"/>
  <cols>
    <col min="1" max="1" width="5.7109375" style="4" customWidth="1"/>
    <col min="2" max="2" width="45.851562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4" customWidth="1"/>
    <col min="7" max="7" width="14.28125" style="34" customWidth="1"/>
    <col min="8" max="16384" width="9.140625" style="4" customWidth="1"/>
  </cols>
  <sheetData>
    <row r="1" spans="1:6" ht="40.5" customHeight="1">
      <c r="A1" s="179" t="s">
        <v>132</v>
      </c>
      <c r="B1" s="179"/>
      <c r="C1" s="179"/>
      <c r="D1" s="179"/>
      <c r="E1" s="179"/>
      <c r="F1" s="26"/>
    </row>
    <row r="2" spans="1:6" ht="13.5" thickBot="1">
      <c r="A2" s="116"/>
      <c r="B2" s="116"/>
      <c r="C2" s="116"/>
      <c r="D2" s="117"/>
      <c r="E2" s="118"/>
      <c r="F2" s="35"/>
    </row>
    <row r="3" spans="1:8" ht="38.25">
      <c r="A3" s="181" t="s">
        <v>0</v>
      </c>
      <c r="B3" s="183" t="s">
        <v>1</v>
      </c>
      <c r="C3" s="183" t="s">
        <v>28</v>
      </c>
      <c r="D3" s="183"/>
      <c r="E3" s="189"/>
      <c r="F3" s="119" t="s">
        <v>50</v>
      </c>
      <c r="G3" s="119" t="s">
        <v>99</v>
      </c>
      <c r="H3" s="119" t="s">
        <v>112</v>
      </c>
    </row>
    <row r="4" spans="1:7" ht="25.5">
      <c r="A4" s="182"/>
      <c r="B4" s="184"/>
      <c r="C4" s="22" t="s">
        <v>95</v>
      </c>
      <c r="D4" s="9" t="s">
        <v>96</v>
      </c>
      <c r="E4" s="28" t="s">
        <v>97</v>
      </c>
      <c r="F4" s="119"/>
      <c r="G4" s="119"/>
    </row>
    <row r="5" spans="1:6" ht="12.75">
      <c r="A5" s="182"/>
      <c r="B5" s="184"/>
      <c r="C5" s="8" t="s">
        <v>2</v>
      </c>
      <c r="D5" s="10" t="s">
        <v>2</v>
      </c>
      <c r="E5" s="29" t="s">
        <v>2</v>
      </c>
      <c r="F5" s="120"/>
    </row>
    <row r="6" spans="1:5" ht="13.5" thickBot="1">
      <c r="A6" s="42">
        <v>1</v>
      </c>
      <c r="B6" s="43">
        <v>2</v>
      </c>
      <c r="C6" s="43">
        <v>3</v>
      </c>
      <c r="D6" s="44">
        <v>4</v>
      </c>
      <c r="E6" s="45">
        <v>5</v>
      </c>
    </row>
    <row r="7" spans="1:5" ht="33" customHeight="1" thickBot="1">
      <c r="A7" s="172" t="s">
        <v>40</v>
      </c>
      <c r="B7" s="173"/>
      <c r="C7" s="173"/>
      <c r="D7" s="173"/>
      <c r="E7" s="174"/>
    </row>
    <row r="8" spans="1:8" ht="12.75">
      <c r="A8" s="121" t="s">
        <v>3</v>
      </c>
      <c r="B8" s="122" t="s">
        <v>94</v>
      </c>
      <c r="C8" s="66">
        <v>0</v>
      </c>
      <c r="D8" s="70">
        <f>ROUND(0.19*C8,2)</f>
        <v>0</v>
      </c>
      <c r="E8" s="71">
        <f>D8+C8</f>
        <v>0</v>
      </c>
      <c r="F8" s="123" t="s">
        <v>29</v>
      </c>
      <c r="G8" s="34" t="s">
        <v>100</v>
      </c>
      <c r="H8" s="34" t="s">
        <v>100</v>
      </c>
    </row>
    <row r="9" spans="1:8" s="167" customFormat="1" ht="12.75">
      <c r="A9" s="124" t="s">
        <v>4</v>
      </c>
      <c r="B9" s="125" t="s">
        <v>93</v>
      </c>
      <c r="C9" s="67">
        <v>0</v>
      </c>
      <c r="D9" s="72">
        <f>ROUND(0.19*C9,2)</f>
        <v>0</v>
      </c>
      <c r="E9" s="73">
        <f>D9+C9</f>
        <v>0</v>
      </c>
      <c r="F9" s="123" t="s">
        <v>30</v>
      </c>
      <c r="G9" s="34" t="s">
        <v>105</v>
      </c>
      <c r="H9" s="34" t="s">
        <v>105</v>
      </c>
    </row>
    <row r="10" spans="1:8" ht="25.5">
      <c r="A10" s="124" t="s">
        <v>5</v>
      </c>
      <c r="B10" s="126" t="s">
        <v>41</v>
      </c>
      <c r="C10" s="68">
        <v>0</v>
      </c>
      <c r="D10" s="72">
        <f>ROUND(0.19*C10,2)</f>
        <v>0</v>
      </c>
      <c r="E10" s="73">
        <f>D10+C10</f>
        <v>0</v>
      </c>
      <c r="F10" s="123" t="s">
        <v>29</v>
      </c>
      <c r="G10" s="34" t="s">
        <v>105</v>
      </c>
      <c r="H10" s="34" t="s">
        <v>105</v>
      </c>
    </row>
    <row r="11" spans="1:8" s="167" customFormat="1" ht="12.75">
      <c r="A11" s="127" t="s">
        <v>51</v>
      </c>
      <c r="B11" s="126" t="s">
        <v>52</v>
      </c>
      <c r="C11" s="67">
        <v>0</v>
      </c>
      <c r="D11" s="72">
        <f>ROUND(0.19*C11,2)</f>
        <v>0</v>
      </c>
      <c r="E11" s="73">
        <f>D11+C11</f>
        <v>0</v>
      </c>
      <c r="F11" s="123" t="s">
        <v>30</v>
      </c>
      <c r="G11" s="34" t="s">
        <v>105</v>
      </c>
      <c r="H11" s="34" t="s">
        <v>105</v>
      </c>
    </row>
    <row r="12" spans="1:6" ht="15.75" thickBot="1">
      <c r="A12" s="128"/>
      <c r="B12" s="129" t="s">
        <v>38</v>
      </c>
      <c r="C12" s="69">
        <f>_xlfn.SUMIFS(C8:C11,$F$8:$F$11,"&lt;&gt;")</f>
        <v>0</v>
      </c>
      <c r="D12" s="69">
        <f>_xlfn.SUMIFS(D8:D11,$F$8:$F$11,"&lt;&gt;0")</f>
        <v>0</v>
      </c>
      <c r="E12" s="69">
        <f>_xlfn.SUMIFS(E8:E11,$F$8:$F$11,"&lt;&gt;")</f>
        <v>0</v>
      </c>
      <c r="F12" s="123"/>
    </row>
    <row r="13" spans="1:6" ht="33" customHeight="1">
      <c r="A13" s="172" t="s">
        <v>42</v>
      </c>
      <c r="B13" s="173"/>
      <c r="C13" s="173"/>
      <c r="D13" s="173"/>
      <c r="E13" s="174"/>
      <c r="F13" s="123"/>
    </row>
    <row r="14" spans="1:8" ht="25.5">
      <c r="A14" s="124">
        <v>2</v>
      </c>
      <c r="B14" s="126" t="s">
        <v>53</v>
      </c>
      <c r="C14" s="68">
        <f>15000*25.9%</f>
        <v>3885</v>
      </c>
      <c r="D14" s="72">
        <f>ROUND(0.19*C14,2)</f>
        <v>738.15</v>
      </c>
      <c r="E14" s="73">
        <f>D14+C14</f>
        <v>4623.15</v>
      </c>
      <c r="F14" s="123" t="s">
        <v>30</v>
      </c>
      <c r="G14" s="34" t="s">
        <v>105</v>
      </c>
      <c r="H14" s="34" t="s">
        <v>105</v>
      </c>
    </row>
    <row r="15" spans="1:6" ht="15" thickBot="1">
      <c r="A15" s="130"/>
      <c r="B15" s="131" t="s">
        <v>39</v>
      </c>
      <c r="C15" s="69">
        <f>_xlfn.SUMIFS(C14,$F$14,"&lt;&gt;")</f>
        <v>3885</v>
      </c>
      <c r="D15" s="69">
        <f>_xlfn.SUMIFS(D14,$F$14,"&lt;&gt;")</f>
        <v>738.15</v>
      </c>
      <c r="E15" s="74">
        <f>_xlfn.SUMIFS(E14,$F$14,"&lt;&gt;")</f>
        <v>4623.15</v>
      </c>
      <c r="F15" s="123"/>
    </row>
    <row r="16" spans="1:6" ht="33" customHeight="1" thickBot="1">
      <c r="A16" s="172" t="s">
        <v>43</v>
      </c>
      <c r="B16" s="173"/>
      <c r="C16" s="173"/>
      <c r="D16" s="173"/>
      <c r="E16" s="174"/>
      <c r="F16" s="123"/>
    </row>
    <row r="17" spans="1:8" ht="12.75">
      <c r="A17" s="121" t="s">
        <v>6</v>
      </c>
      <c r="B17" s="132" t="s">
        <v>54</v>
      </c>
      <c r="C17" s="66">
        <f>4100*25.9%</f>
        <v>1061.9</v>
      </c>
      <c r="D17" s="78">
        <f aca="true" t="shared" si="0" ref="D17:D30">ROUND(0.19*C17,2)</f>
        <v>201.76</v>
      </c>
      <c r="E17" s="79">
        <f aca="true" t="shared" si="1" ref="E17:E30">D17+C17</f>
        <v>1263.66</v>
      </c>
      <c r="F17" s="123" t="s">
        <v>29</v>
      </c>
      <c r="G17" s="34" t="s">
        <v>105</v>
      </c>
      <c r="H17" s="34" t="s">
        <v>100</v>
      </c>
    </row>
    <row r="18" spans="1:8" ht="25.5">
      <c r="A18" s="124" t="s">
        <v>7</v>
      </c>
      <c r="B18" s="126" t="s">
        <v>55</v>
      </c>
      <c r="C18" s="68">
        <v>0</v>
      </c>
      <c r="D18" s="76">
        <f t="shared" si="0"/>
        <v>0</v>
      </c>
      <c r="E18" s="77">
        <f t="shared" si="1"/>
        <v>0</v>
      </c>
      <c r="F18" s="123" t="s">
        <v>29</v>
      </c>
      <c r="G18" s="34" t="s">
        <v>105</v>
      </c>
      <c r="H18" s="34" t="s">
        <v>100</v>
      </c>
    </row>
    <row r="19" spans="1:8" ht="12.75">
      <c r="A19" s="127" t="s">
        <v>8</v>
      </c>
      <c r="B19" s="126" t="s">
        <v>56</v>
      </c>
      <c r="C19" s="68">
        <v>0</v>
      </c>
      <c r="D19" s="76">
        <f t="shared" si="0"/>
        <v>0</v>
      </c>
      <c r="E19" s="77">
        <f t="shared" si="1"/>
        <v>0</v>
      </c>
      <c r="F19" s="123" t="s">
        <v>29</v>
      </c>
      <c r="G19" s="34" t="s">
        <v>105</v>
      </c>
      <c r="H19" s="34" t="s">
        <v>100</v>
      </c>
    </row>
    <row r="20" spans="1:8" ht="25.5">
      <c r="A20" s="127" t="s">
        <v>9</v>
      </c>
      <c r="B20" s="126" t="s">
        <v>57</v>
      </c>
      <c r="C20" s="68">
        <v>0</v>
      </c>
      <c r="D20" s="76">
        <f t="shared" si="0"/>
        <v>0</v>
      </c>
      <c r="E20" s="77">
        <f t="shared" si="1"/>
        <v>0</v>
      </c>
      <c r="F20" s="123" t="s">
        <v>29</v>
      </c>
      <c r="G20" s="34" t="s">
        <v>105</v>
      </c>
      <c r="H20" s="34" t="s">
        <v>100</v>
      </c>
    </row>
    <row r="21" spans="1:8" ht="12.75">
      <c r="A21" s="127" t="s">
        <v>10</v>
      </c>
      <c r="B21" s="133" t="s">
        <v>58</v>
      </c>
      <c r="C21" s="76">
        <f>SUM(C22:C27)</f>
        <v>10230.5</v>
      </c>
      <c r="D21" s="76">
        <f>SUM(D22:D27)</f>
        <v>1943.8000000000002</v>
      </c>
      <c r="E21" s="77">
        <f>SUM(E22:E27)</f>
        <v>12174.3</v>
      </c>
      <c r="F21" s="123"/>
      <c r="H21" s="34"/>
    </row>
    <row r="22" spans="1:8" ht="12.75">
      <c r="A22" s="134" t="s">
        <v>59</v>
      </c>
      <c r="B22" s="135" t="s">
        <v>60</v>
      </c>
      <c r="C22" s="75">
        <v>0</v>
      </c>
      <c r="D22" s="80">
        <f t="shared" si="0"/>
        <v>0</v>
      </c>
      <c r="E22" s="81">
        <f t="shared" si="1"/>
        <v>0</v>
      </c>
      <c r="F22" s="123" t="s">
        <v>29</v>
      </c>
      <c r="G22" s="34" t="s">
        <v>105</v>
      </c>
      <c r="H22" s="34" t="s">
        <v>100</v>
      </c>
    </row>
    <row r="23" spans="1:8" ht="12.75">
      <c r="A23" s="134" t="s">
        <v>61</v>
      </c>
      <c r="B23" s="135" t="s">
        <v>62</v>
      </c>
      <c r="C23" s="75">
        <v>0</v>
      </c>
      <c r="D23" s="80">
        <f t="shared" si="0"/>
        <v>0</v>
      </c>
      <c r="E23" s="81">
        <f t="shared" si="1"/>
        <v>0</v>
      </c>
      <c r="F23" s="123" t="s">
        <v>29</v>
      </c>
      <c r="G23" s="34" t="s">
        <v>105</v>
      </c>
      <c r="H23" s="34" t="s">
        <v>100</v>
      </c>
    </row>
    <row r="24" spans="1:8" ht="24">
      <c r="A24" s="134" t="s">
        <v>63</v>
      </c>
      <c r="B24" s="136" t="s">
        <v>64</v>
      </c>
      <c r="C24" s="75">
        <v>0</v>
      </c>
      <c r="D24" s="80">
        <f t="shared" si="0"/>
        <v>0</v>
      </c>
      <c r="E24" s="81">
        <f t="shared" si="1"/>
        <v>0</v>
      </c>
      <c r="F24" s="123" t="s">
        <v>29</v>
      </c>
      <c r="G24" s="34" t="s">
        <v>105</v>
      </c>
      <c r="H24" s="34" t="s">
        <v>100</v>
      </c>
    </row>
    <row r="25" spans="1:8" ht="24">
      <c r="A25" s="134" t="s">
        <v>65</v>
      </c>
      <c r="B25" s="136" t="s">
        <v>66</v>
      </c>
      <c r="C25" s="75">
        <f>7500*25.9%</f>
        <v>1942.5</v>
      </c>
      <c r="D25" s="82">
        <f t="shared" si="0"/>
        <v>369.08</v>
      </c>
      <c r="E25" s="83">
        <f t="shared" si="1"/>
        <v>2311.58</v>
      </c>
      <c r="F25" s="123" t="s">
        <v>30</v>
      </c>
      <c r="G25" s="34" t="s">
        <v>105</v>
      </c>
      <c r="H25" s="34" t="s">
        <v>100</v>
      </c>
    </row>
    <row r="26" spans="1:8" ht="24">
      <c r="A26" s="134" t="s">
        <v>67</v>
      </c>
      <c r="B26" s="136" t="s">
        <v>104</v>
      </c>
      <c r="C26" s="75">
        <f>5000*25.9%</f>
        <v>1295</v>
      </c>
      <c r="D26" s="82">
        <f t="shared" si="0"/>
        <v>246.05</v>
      </c>
      <c r="E26" s="83">
        <f t="shared" si="1"/>
        <v>1541.05</v>
      </c>
      <c r="F26" s="123" t="s">
        <v>30</v>
      </c>
      <c r="G26" s="34" t="s">
        <v>105</v>
      </c>
      <c r="H26" s="34" t="s">
        <v>100</v>
      </c>
    </row>
    <row r="27" spans="1:8" ht="12.75">
      <c r="A27" s="134" t="s">
        <v>68</v>
      </c>
      <c r="B27" s="136" t="s">
        <v>69</v>
      </c>
      <c r="C27" s="75">
        <f>27000*25.9%</f>
        <v>6993</v>
      </c>
      <c r="D27" s="82">
        <f t="shared" si="0"/>
        <v>1328.67</v>
      </c>
      <c r="E27" s="83">
        <f t="shared" si="1"/>
        <v>8321.67</v>
      </c>
      <c r="F27" s="123" t="s">
        <v>30</v>
      </c>
      <c r="G27" s="34" t="s">
        <v>105</v>
      </c>
      <c r="H27" s="34" t="s">
        <v>100</v>
      </c>
    </row>
    <row r="28" spans="1:8" s="168" customFormat="1" ht="12.75">
      <c r="A28" s="127" t="s">
        <v>12</v>
      </c>
      <c r="B28" s="126" t="s">
        <v>44</v>
      </c>
      <c r="C28" s="75">
        <v>0</v>
      </c>
      <c r="D28" s="76">
        <f t="shared" si="0"/>
        <v>0</v>
      </c>
      <c r="E28" s="77">
        <f t="shared" si="1"/>
        <v>0</v>
      </c>
      <c r="F28" s="137" t="s">
        <v>29</v>
      </c>
      <c r="G28" s="34" t="s">
        <v>105</v>
      </c>
      <c r="H28" s="34" t="s">
        <v>100</v>
      </c>
    </row>
    <row r="29" spans="1:8" s="168" customFormat="1" ht="12.75">
      <c r="A29" s="127" t="s">
        <v>70</v>
      </c>
      <c r="B29" s="126" t="s">
        <v>11</v>
      </c>
      <c r="C29" s="75">
        <f>15000*25.9%</f>
        <v>3885</v>
      </c>
      <c r="D29" s="76">
        <f t="shared" si="0"/>
        <v>738.15</v>
      </c>
      <c r="E29" s="77">
        <f t="shared" si="1"/>
        <v>4623.15</v>
      </c>
      <c r="F29" s="137" t="s">
        <v>29</v>
      </c>
      <c r="G29" s="34" t="s">
        <v>105</v>
      </c>
      <c r="H29" s="34" t="s">
        <v>100</v>
      </c>
    </row>
    <row r="30" spans="1:8" ht="12.75">
      <c r="A30" s="138" t="s">
        <v>71</v>
      </c>
      <c r="B30" s="139" t="s">
        <v>13</v>
      </c>
      <c r="C30" s="75">
        <f>33000*25.9%</f>
        <v>8547</v>
      </c>
      <c r="D30" s="84">
        <f t="shared" si="0"/>
        <v>1623.93</v>
      </c>
      <c r="E30" s="85">
        <f t="shared" si="1"/>
        <v>10170.93</v>
      </c>
      <c r="F30" s="137" t="s">
        <v>29</v>
      </c>
      <c r="G30" s="34" t="s">
        <v>105</v>
      </c>
      <c r="H30" s="34" t="s">
        <v>100</v>
      </c>
    </row>
    <row r="31" spans="1:6" ht="15.75" thickBot="1">
      <c r="A31" s="128"/>
      <c r="B31" s="129" t="s">
        <v>35</v>
      </c>
      <c r="C31" s="86">
        <f>_xlfn.SUMIFS(C17:C30,$F$17:$F$30,"&lt;&gt;")</f>
        <v>23724.4</v>
      </c>
      <c r="D31" s="86">
        <f>_xlfn.SUMIFS(D17:D30,$F$17:$F$30,"&lt;&gt;")</f>
        <v>4507.64</v>
      </c>
      <c r="E31" s="87">
        <f>_xlfn.SUMIFS(E17:E30,$F$17:$F$30,"&lt;&gt;")</f>
        <v>28232.04</v>
      </c>
      <c r="F31" s="123"/>
    </row>
    <row r="32" spans="1:6" ht="33" customHeight="1">
      <c r="A32" s="175" t="s">
        <v>45</v>
      </c>
      <c r="B32" s="188"/>
      <c r="C32" s="188"/>
      <c r="D32" s="188"/>
      <c r="E32" s="177"/>
      <c r="F32" s="123"/>
    </row>
    <row r="33" spans="1:6" ht="12.75">
      <c r="A33" s="124" t="s">
        <v>14</v>
      </c>
      <c r="B33" s="126" t="s">
        <v>101</v>
      </c>
      <c r="C33" s="76">
        <f>C34+C35</f>
        <v>571827</v>
      </c>
      <c r="D33" s="76">
        <f>D34+D35</f>
        <v>108647.13</v>
      </c>
      <c r="E33" s="77">
        <f>E34+E35</f>
        <v>680474.13</v>
      </c>
      <c r="F33" s="123"/>
    </row>
    <row r="34" spans="1:8" ht="12.75">
      <c r="A34" s="140" t="str">
        <f>A33&amp;".1"</f>
        <v>4.1.1</v>
      </c>
      <c r="B34" s="141" t="s">
        <v>102</v>
      </c>
      <c r="C34" s="75">
        <v>571827</v>
      </c>
      <c r="D34" s="80">
        <f>ROUND(0.19*C34,2)</f>
        <v>108647.13</v>
      </c>
      <c r="E34" s="81">
        <f>D34+C34</f>
        <v>680474.13</v>
      </c>
      <c r="F34" s="123" t="s">
        <v>30</v>
      </c>
      <c r="G34" s="34" t="s">
        <v>105</v>
      </c>
      <c r="H34" s="34" t="s">
        <v>105</v>
      </c>
    </row>
    <row r="35" spans="1:8" ht="12.75">
      <c r="A35" s="140" t="str">
        <f>A33&amp;".2"</f>
        <v>4.1.2</v>
      </c>
      <c r="B35" s="142" t="s">
        <v>103</v>
      </c>
      <c r="C35" s="75">
        <v>0</v>
      </c>
      <c r="D35" s="80">
        <f>ROUND(0.19*C35,2)</f>
        <v>0</v>
      </c>
      <c r="E35" s="81">
        <f>D35+C35</f>
        <v>0</v>
      </c>
      <c r="F35" s="123" t="s">
        <v>30</v>
      </c>
      <c r="G35" s="34" t="s">
        <v>100</v>
      </c>
      <c r="H35" s="34" t="s">
        <v>105</v>
      </c>
    </row>
    <row r="36" spans="1:8" ht="12.75">
      <c r="A36" s="124" t="s">
        <v>15</v>
      </c>
      <c r="B36" s="126" t="s">
        <v>72</v>
      </c>
      <c r="C36" s="76">
        <f>C37+C38</f>
        <v>0</v>
      </c>
      <c r="D36" s="76">
        <f>D37+D38</f>
        <v>0</v>
      </c>
      <c r="E36" s="77">
        <f>E37+E38</f>
        <v>0</v>
      </c>
      <c r="F36" s="123"/>
      <c r="H36" s="34"/>
    </row>
    <row r="37" spans="1:8" ht="12.75">
      <c r="A37" s="140" t="str">
        <f>A36&amp;".1"</f>
        <v>4.2.1</v>
      </c>
      <c r="B37" s="141" t="s">
        <v>102</v>
      </c>
      <c r="C37" s="75">
        <v>0</v>
      </c>
      <c r="D37" s="80">
        <f>ROUND(0.19*C37,2)</f>
        <v>0</v>
      </c>
      <c r="E37" s="81">
        <f>D37+C37</f>
        <v>0</v>
      </c>
      <c r="F37" s="123" t="s">
        <v>30</v>
      </c>
      <c r="G37" s="34" t="s">
        <v>105</v>
      </c>
      <c r="H37" s="34" t="s">
        <v>105</v>
      </c>
    </row>
    <row r="38" spans="1:8" ht="12.75">
      <c r="A38" s="140" t="str">
        <f>A36&amp;".2"</f>
        <v>4.2.2</v>
      </c>
      <c r="B38" s="142" t="s">
        <v>103</v>
      </c>
      <c r="C38" s="75">
        <v>0</v>
      </c>
      <c r="D38" s="80">
        <f>ROUND(0.19*C38,2)</f>
        <v>0</v>
      </c>
      <c r="E38" s="81">
        <f>D38+C38</f>
        <v>0</v>
      </c>
      <c r="F38" s="123" t="s">
        <v>30</v>
      </c>
      <c r="G38" s="34" t="s">
        <v>100</v>
      </c>
      <c r="H38" s="34" t="s">
        <v>105</v>
      </c>
    </row>
    <row r="39" spans="1:8" ht="25.5">
      <c r="A39" s="124" t="s">
        <v>16</v>
      </c>
      <c r="B39" s="126" t="s">
        <v>73</v>
      </c>
      <c r="C39" s="76">
        <f>C40+C41</f>
        <v>0</v>
      </c>
      <c r="D39" s="76">
        <f>D40+D41</f>
        <v>0</v>
      </c>
      <c r="E39" s="77">
        <f>E40+E41</f>
        <v>0</v>
      </c>
      <c r="F39" s="123"/>
      <c r="H39" s="34"/>
    </row>
    <row r="40" spans="1:8" ht="12.75">
      <c r="A40" s="140" t="str">
        <f>A39&amp;".1"</f>
        <v>4.3.1</v>
      </c>
      <c r="B40" s="141" t="s">
        <v>102</v>
      </c>
      <c r="C40" s="75">
        <v>0</v>
      </c>
      <c r="D40" s="80">
        <f>ROUND(0.19*C40,2)</f>
        <v>0</v>
      </c>
      <c r="E40" s="81">
        <f>D40+C40</f>
        <v>0</v>
      </c>
      <c r="F40" s="123" t="s">
        <v>30</v>
      </c>
      <c r="G40" s="34" t="s">
        <v>105</v>
      </c>
      <c r="H40" s="34" t="s">
        <v>100</v>
      </c>
    </row>
    <row r="41" spans="1:8" ht="12.75">
      <c r="A41" s="140" t="str">
        <f>A39&amp;".2"</f>
        <v>4.3.2</v>
      </c>
      <c r="B41" s="142" t="s">
        <v>103</v>
      </c>
      <c r="C41" s="75">
        <v>0</v>
      </c>
      <c r="D41" s="80">
        <f>ROUND(0.19*C41,2)</f>
        <v>0</v>
      </c>
      <c r="E41" s="81">
        <f>D41+C41</f>
        <v>0</v>
      </c>
      <c r="F41" s="123" t="s">
        <v>30</v>
      </c>
      <c r="G41" s="34" t="s">
        <v>100</v>
      </c>
      <c r="H41" s="34" t="s">
        <v>100</v>
      </c>
    </row>
    <row r="42" spans="1:8" ht="25.5">
      <c r="A42" s="124" t="s">
        <v>17</v>
      </c>
      <c r="B42" s="126" t="s">
        <v>74</v>
      </c>
      <c r="C42" s="76">
        <f>C43+C44</f>
        <v>0</v>
      </c>
      <c r="D42" s="76">
        <f>D43+D44</f>
        <v>0</v>
      </c>
      <c r="E42" s="77">
        <f>E43+E44</f>
        <v>0</v>
      </c>
      <c r="H42" s="34"/>
    </row>
    <row r="43" spans="1:8" ht="12.75">
      <c r="A43" s="140" t="str">
        <f>A42&amp;".1"</f>
        <v>4.4.1</v>
      </c>
      <c r="B43" s="141" t="s">
        <v>102</v>
      </c>
      <c r="C43" s="75">
        <v>0</v>
      </c>
      <c r="D43" s="80">
        <f>ROUND(0.19*C43,2)</f>
        <v>0</v>
      </c>
      <c r="E43" s="81">
        <f>D43+C43</f>
        <v>0</v>
      </c>
      <c r="F43" s="123" t="s">
        <v>30</v>
      </c>
      <c r="G43" s="34" t="s">
        <v>105</v>
      </c>
      <c r="H43" s="34" t="s">
        <v>100</v>
      </c>
    </row>
    <row r="44" spans="1:8" ht="12.75">
      <c r="A44" s="140" t="str">
        <f>A42&amp;".2"</f>
        <v>4.4.2</v>
      </c>
      <c r="B44" s="142" t="s">
        <v>103</v>
      </c>
      <c r="C44" s="75">
        <v>0</v>
      </c>
      <c r="D44" s="80">
        <f>ROUND(0.19*C44,2)</f>
        <v>0</v>
      </c>
      <c r="E44" s="81">
        <f>D44+C44</f>
        <v>0</v>
      </c>
      <c r="F44" s="123" t="s">
        <v>30</v>
      </c>
      <c r="G44" s="34" t="s">
        <v>100</v>
      </c>
      <c r="H44" s="34" t="s">
        <v>100</v>
      </c>
    </row>
    <row r="45" spans="1:8" ht="12.75">
      <c r="A45" s="124" t="s">
        <v>18</v>
      </c>
      <c r="B45" s="126" t="s">
        <v>46</v>
      </c>
      <c r="C45" s="76">
        <f>C46+C47</f>
        <v>0</v>
      </c>
      <c r="D45" s="76">
        <f>D46+D47</f>
        <v>0</v>
      </c>
      <c r="E45" s="77">
        <f>E46+E47</f>
        <v>0</v>
      </c>
      <c r="F45" s="123"/>
      <c r="H45" s="34"/>
    </row>
    <row r="46" spans="1:8" ht="12.75">
      <c r="A46" s="140" t="str">
        <f>A45&amp;".1"</f>
        <v>4.5.1</v>
      </c>
      <c r="B46" s="141" t="s">
        <v>102</v>
      </c>
      <c r="C46" s="75">
        <v>0</v>
      </c>
      <c r="D46" s="80">
        <f>ROUND(0.19*C46,2)</f>
        <v>0</v>
      </c>
      <c r="E46" s="81">
        <f>D46+C46</f>
        <v>0</v>
      </c>
      <c r="F46" s="123" t="s">
        <v>30</v>
      </c>
      <c r="G46" s="34" t="s">
        <v>105</v>
      </c>
      <c r="H46" s="34" t="s">
        <v>100</v>
      </c>
    </row>
    <row r="47" spans="1:8" ht="12.75">
      <c r="A47" s="140" t="str">
        <f>A45&amp;".2"</f>
        <v>4.5.2</v>
      </c>
      <c r="B47" s="142" t="s">
        <v>103</v>
      </c>
      <c r="C47" s="75">
        <v>0</v>
      </c>
      <c r="D47" s="80">
        <f>ROUND(0.19*C47,2)</f>
        <v>0</v>
      </c>
      <c r="E47" s="81">
        <f>D47+C47</f>
        <v>0</v>
      </c>
      <c r="F47" s="123" t="s">
        <v>30</v>
      </c>
      <c r="G47" s="34" t="s">
        <v>100</v>
      </c>
      <c r="H47" s="34" t="s">
        <v>100</v>
      </c>
    </row>
    <row r="48" spans="1:8" ht="12.75">
      <c r="A48" s="124" t="s">
        <v>26</v>
      </c>
      <c r="B48" s="126" t="s">
        <v>27</v>
      </c>
      <c r="C48" s="76">
        <f>C49+C50</f>
        <v>0</v>
      </c>
      <c r="D48" s="76">
        <f>D49+D50</f>
        <v>0</v>
      </c>
      <c r="E48" s="77">
        <f>E49+E50</f>
        <v>0</v>
      </c>
      <c r="F48" s="123"/>
      <c r="H48" s="34"/>
    </row>
    <row r="49" spans="1:8" ht="12.75">
      <c r="A49" s="140" t="str">
        <f>A48&amp;".1"</f>
        <v>4.6.1</v>
      </c>
      <c r="B49" s="141" t="s">
        <v>102</v>
      </c>
      <c r="C49" s="75">
        <v>0</v>
      </c>
      <c r="D49" s="80">
        <f>ROUND(0.19*C49,2)</f>
        <v>0</v>
      </c>
      <c r="E49" s="81">
        <f>D49+C49</f>
        <v>0</v>
      </c>
      <c r="F49" s="123" t="s">
        <v>30</v>
      </c>
      <c r="G49" s="34" t="s">
        <v>105</v>
      </c>
      <c r="H49" s="34" t="s">
        <v>100</v>
      </c>
    </row>
    <row r="50" spans="1:8" ht="12.75">
      <c r="A50" s="140" t="str">
        <f>A48&amp;".2"</f>
        <v>4.6.2</v>
      </c>
      <c r="B50" s="142" t="s">
        <v>103</v>
      </c>
      <c r="C50" s="75">
        <v>0</v>
      </c>
      <c r="D50" s="80">
        <f>ROUND(0.19*C50,2)</f>
        <v>0</v>
      </c>
      <c r="E50" s="81">
        <f>D50+C50</f>
        <v>0</v>
      </c>
      <c r="F50" s="123" t="s">
        <v>30</v>
      </c>
      <c r="G50" s="34" t="s">
        <v>100</v>
      </c>
      <c r="H50" s="34" t="s">
        <v>100</v>
      </c>
    </row>
    <row r="51" spans="1:8" ht="15" thickBot="1">
      <c r="A51" s="130"/>
      <c r="B51" s="129" t="s">
        <v>34</v>
      </c>
      <c r="C51" s="86">
        <f>_xlfn.SUMIFS(C33:C50,$F$33:$F$50,"&lt;&gt;")</f>
        <v>571827</v>
      </c>
      <c r="D51" s="86">
        <f>_xlfn.SUMIFS(D33:D50,$F$33:$F$50,"&lt;&gt;")</f>
        <v>108647.13</v>
      </c>
      <c r="E51" s="87">
        <f>_xlfn.SUMIFS(E33:E50,$F$33:$F$50,"&lt;&gt;")</f>
        <v>680474.13</v>
      </c>
      <c r="F51" s="123"/>
      <c r="H51" s="34"/>
    </row>
    <row r="52" spans="1:8" ht="33" customHeight="1">
      <c r="A52" s="172" t="s">
        <v>19</v>
      </c>
      <c r="B52" s="173"/>
      <c r="C52" s="173"/>
      <c r="D52" s="173"/>
      <c r="E52" s="174"/>
      <c r="F52" s="123"/>
      <c r="H52" s="34"/>
    </row>
    <row r="53" spans="1:8" ht="12.75">
      <c r="A53" s="124" t="s">
        <v>20</v>
      </c>
      <c r="B53" s="125" t="s">
        <v>89</v>
      </c>
      <c r="C53" s="76">
        <f>C54+C55</f>
        <v>5698</v>
      </c>
      <c r="D53" s="76">
        <f>D54+D55</f>
        <v>1082.6200000000001</v>
      </c>
      <c r="E53" s="77">
        <f>E54+E55</f>
        <v>6780.620000000001</v>
      </c>
      <c r="F53" s="123"/>
      <c r="H53" s="34"/>
    </row>
    <row r="54" spans="1:8" ht="25.5">
      <c r="A54" s="143" t="s">
        <v>33</v>
      </c>
      <c r="B54" s="141" t="s">
        <v>75</v>
      </c>
      <c r="C54" s="75">
        <f>14000*25.9%</f>
        <v>3626</v>
      </c>
      <c r="D54" s="76">
        <f>ROUND(0.19*C54,2)</f>
        <v>688.94</v>
      </c>
      <c r="E54" s="77">
        <f>D54+C54</f>
        <v>4314.9400000000005</v>
      </c>
      <c r="F54" s="123" t="s">
        <v>30</v>
      </c>
      <c r="G54" s="34" t="s">
        <v>105</v>
      </c>
      <c r="H54" s="34" t="s">
        <v>105</v>
      </c>
    </row>
    <row r="55" spans="1:8" ht="12.75">
      <c r="A55" s="143" t="s">
        <v>47</v>
      </c>
      <c r="B55" s="142" t="s">
        <v>76</v>
      </c>
      <c r="C55" s="75">
        <f>8000*25.9%</f>
        <v>2072</v>
      </c>
      <c r="D55" s="76">
        <f>ROUND(0.19*C55,2)</f>
        <v>393.68</v>
      </c>
      <c r="E55" s="77">
        <f>D55+C55</f>
        <v>2465.68</v>
      </c>
      <c r="F55" s="123" t="s">
        <v>29</v>
      </c>
      <c r="G55" s="34" t="s">
        <v>105</v>
      </c>
      <c r="H55" s="34" t="s">
        <v>100</v>
      </c>
    </row>
    <row r="56" spans="1:8" ht="12.75">
      <c r="A56" s="124" t="s">
        <v>21</v>
      </c>
      <c r="B56" s="126" t="s">
        <v>48</v>
      </c>
      <c r="C56" s="76">
        <f>SUM(C57:C61)</f>
        <v>6411.38442</v>
      </c>
      <c r="D56" s="76">
        <f>SUM(D57:D61)</f>
        <v>0</v>
      </c>
      <c r="E56" s="77">
        <f>SUM(E57:E61)</f>
        <v>6411.38442</v>
      </c>
      <c r="F56" s="123"/>
      <c r="H56" s="34"/>
    </row>
    <row r="57" spans="1:8" ht="25.5">
      <c r="A57" s="144" t="s">
        <v>77</v>
      </c>
      <c r="B57" s="145" t="s">
        <v>78</v>
      </c>
      <c r="C57" s="75">
        <v>0</v>
      </c>
      <c r="D57" s="76">
        <f>ROUND(0.19*C57,2)</f>
        <v>0</v>
      </c>
      <c r="E57" s="77">
        <f aca="true" t="shared" si="2" ref="E57:E63">D57+C57</f>
        <v>0</v>
      </c>
      <c r="F57" s="123" t="s">
        <v>29</v>
      </c>
      <c r="G57" s="34" t="s">
        <v>105</v>
      </c>
      <c r="H57" s="34" t="s">
        <v>100</v>
      </c>
    </row>
    <row r="58" spans="1:8" ht="25.5">
      <c r="A58" s="144" t="s">
        <v>79</v>
      </c>
      <c r="B58" s="145" t="s">
        <v>80</v>
      </c>
      <c r="C58" s="75">
        <f>11251.99*25.9%</f>
        <v>2914.26541</v>
      </c>
      <c r="D58" s="76">
        <f>ROUND(0*C58,2)</f>
        <v>0</v>
      </c>
      <c r="E58" s="77">
        <f t="shared" si="2"/>
        <v>2914.26541</v>
      </c>
      <c r="F58" s="123" t="s">
        <v>30</v>
      </c>
      <c r="G58" s="34" t="s">
        <v>105</v>
      </c>
      <c r="H58" s="34" t="s">
        <v>100</v>
      </c>
    </row>
    <row r="59" spans="1:8" ht="38.25">
      <c r="A59" s="144" t="s">
        <v>81</v>
      </c>
      <c r="B59" s="145" t="s">
        <v>82</v>
      </c>
      <c r="C59" s="75">
        <f>2250.4*25.9%</f>
        <v>582.8536</v>
      </c>
      <c r="D59" s="76">
        <f>ROUND(0*C59,2)</f>
        <v>0</v>
      </c>
      <c r="E59" s="77">
        <f t="shared" si="2"/>
        <v>582.8536</v>
      </c>
      <c r="F59" s="123" t="s">
        <v>30</v>
      </c>
      <c r="G59" s="34" t="s">
        <v>105</v>
      </c>
      <c r="H59" s="34" t="s">
        <v>100</v>
      </c>
    </row>
    <row r="60" spans="1:8" ht="12.75">
      <c r="A60" s="144" t="s">
        <v>83</v>
      </c>
      <c r="B60" s="145" t="s">
        <v>84</v>
      </c>
      <c r="C60" s="75">
        <f>11251.99*25.9%</f>
        <v>2914.26541</v>
      </c>
      <c r="D60" s="76">
        <f>ROUND(0*C60,2)</f>
        <v>0</v>
      </c>
      <c r="E60" s="77">
        <f t="shared" si="2"/>
        <v>2914.26541</v>
      </c>
      <c r="F60" s="123" t="s">
        <v>30</v>
      </c>
      <c r="G60" s="34" t="s">
        <v>105</v>
      </c>
      <c r="H60" s="34" t="s">
        <v>100</v>
      </c>
    </row>
    <row r="61" spans="1:8" ht="25.5">
      <c r="A61" s="144" t="s">
        <v>85</v>
      </c>
      <c r="B61" s="145" t="s">
        <v>86</v>
      </c>
      <c r="C61" s="75">
        <v>0</v>
      </c>
      <c r="D61" s="76">
        <f>ROUND(0.19*C61,2)</f>
        <v>0</v>
      </c>
      <c r="E61" s="77">
        <f t="shared" si="2"/>
        <v>0</v>
      </c>
      <c r="F61" s="123" t="s">
        <v>29</v>
      </c>
      <c r="G61" s="34" t="s">
        <v>105</v>
      </c>
      <c r="H61" s="34" t="s">
        <v>100</v>
      </c>
    </row>
    <row r="62" spans="1:8" ht="12.75">
      <c r="A62" s="124" t="s">
        <v>22</v>
      </c>
      <c r="B62" s="126" t="s">
        <v>31</v>
      </c>
      <c r="C62" s="75">
        <f>49375.97*25.9%</f>
        <v>12788.37623</v>
      </c>
      <c r="D62" s="76">
        <f>ROUND(0.19*C62,2)</f>
        <v>2429.79</v>
      </c>
      <c r="E62" s="77">
        <f t="shared" si="2"/>
        <v>15218.166229999999</v>
      </c>
      <c r="F62" s="123" t="s">
        <v>30</v>
      </c>
      <c r="G62" s="34" t="s">
        <v>105</v>
      </c>
      <c r="H62" s="34" t="s">
        <v>100</v>
      </c>
    </row>
    <row r="63" spans="1:8" ht="12.75">
      <c r="A63" s="127" t="s">
        <v>87</v>
      </c>
      <c r="B63" s="126" t="s">
        <v>88</v>
      </c>
      <c r="C63" s="75">
        <f>7900*25.9%</f>
        <v>2046.1000000000001</v>
      </c>
      <c r="D63" s="76">
        <f>ROUND(0.19*C63,2)</f>
        <v>388.76</v>
      </c>
      <c r="E63" s="77">
        <f t="shared" si="2"/>
        <v>2434.86</v>
      </c>
      <c r="F63" s="123" t="s">
        <v>29</v>
      </c>
      <c r="G63" s="34" t="s">
        <v>105</v>
      </c>
      <c r="H63" s="34" t="s">
        <v>100</v>
      </c>
    </row>
    <row r="64" spans="1:8" ht="15" thickBot="1">
      <c r="A64" s="130"/>
      <c r="B64" s="131" t="s">
        <v>36</v>
      </c>
      <c r="C64" s="86">
        <f>_xlfn.SUMIFS(C53:C63,$F$53:$F$63,"&lt;&gt;")</f>
        <v>26943.86065</v>
      </c>
      <c r="D64" s="86">
        <f>_xlfn.SUMIFS(D53:D63,$F$53:$F$63,"&lt;&gt;")</f>
        <v>3901.17</v>
      </c>
      <c r="E64" s="87">
        <f>_xlfn.SUMIFS(E53:E63,$F$53:$F$63,"&lt;&gt;")</f>
        <v>30845.03065</v>
      </c>
      <c r="F64" s="123"/>
      <c r="H64" s="34"/>
    </row>
    <row r="65" spans="1:8" ht="33" customHeight="1">
      <c r="A65" s="172" t="s">
        <v>90</v>
      </c>
      <c r="B65" s="173"/>
      <c r="C65" s="173"/>
      <c r="D65" s="173"/>
      <c r="E65" s="174"/>
      <c r="F65" s="123"/>
      <c r="H65" s="34"/>
    </row>
    <row r="66" spans="1:8" ht="12.75">
      <c r="A66" s="124" t="s">
        <v>23</v>
      </c>
      <c r="B66" s="126" t="s">
        <v>91</v>
      </c>
      <c r="C66" s="75">
        <v>0</v>
      </c>
      <c r="D66" s="76">
        <f>0.19*C66</f>
        <v>0</v>
      </c>
      <c r="E66" s="77">
        <f>C66*1.19</f>
        <v>0</v>
      </c>
      <c r="F66" s="123" t="s">
        <v>29</v>
      </c>
      <c r="G66" s="34" t="s">
        <v>105</v>
      </c>
      <c r="H66" s="34" t="s">
        <v>100</v>
      </c>
    </row>
    <row r="67" spans="1:8" ht="12.75">
      <c r="A67" s="124" t="s">
        <v>24</v>
      </c>
      <c r="B67" s="126" t="s">
        <v>49</v>
      </c>
      <c r="C67" s="75">
        <f>3200*25.9%</f>
        <v>828.8000000000001</v>
      </c>
      <c r="D67" s="76">
        <f>ROUND(0.19*C67,2)</f>
        <v>157.47</v>
      </c>
      <c r="E67" s="77">
        <f>D67+C67</f>
        <v>986.2700000000001</v>
      </c>
      <c r="F67" s="123" t="s">
        <v>30</v>
      </c>
      <c r="G67" s="34" t="s">
        <v>105</v>
      </c>
      <c r="H67" s="34" t="s">
        <v>100</v>
      </c>
    </row>
    <row r="68" spans="1:6" ht="15" thickBot="1">
      <c r="A68" s="130"/>
      <c r="B68" s="129" t="s">
        <v>37</v>
      </c>
      <c r="C68" s="86">
        <f>_xlfn.SUMIFS(C66:C67,$F$66:$F$67,"&lt;&gt;")</f>
        <v>828.8000000000001</v>
      </c>
      <c r="D68" s="86">
        <f>_xlfn.SUMIFS(D66:D67,$F$66:$F$67,"&lt;&gt;")</f>
        <v>157.47</v>
      </c>
      <c r="E68" s="87">
        <f>_xlfn.SUMIFS(E66:E67,$F$66:$F$67,"&lt;&gt;")</f>
        <v>986.2700000000001</v>
      </c>
      <c r="F68" s="123"/>
    </row>
    <row r="69" spans="1:6" ht="16.5" thickBot="1">
      <c r="A69" s="88"/>
      <c r="B69" s="89" t="s">
        <v>32</v>
      </c>
      <c r="C69" s="101">
        <f>_xlfn.SUMIFS(C8:C68,$F$8:$F$68,"&lt;&gt;")</f>
        <v>627209.0606500001</v>
      </c>
      <c r="D69" s="101">
        <f>_xlfn.SUMIFS(D8:D68,$F$8:$F$68,"&lt;&gt;")</f>
        <v>117951.55999999998</v>
      </c>
      <c r="E69" s="102">
        <f>_xlfn.SUMIFS(E8:E68,$F$8:$F$68,"&lt;&gt;")</f>
        <v>745160.62065</v>
      </c>
      <c r="F69" s="123"/>
    </row>
    <row r="70" spans="1:6" ht="29.25" thickBot="1">
      <c r="A70" s="90"/>
      <c r="B70" s="91" t="s">
        <v>92</v>
      </c>
      <c r="C70" s="101">
        <f>_xlfn.SUMIFS(C8:C68,$H$8:$H$68,"da")</f>
        <v>579338</v>
      </c>
      <c r="D70" s="101">
        <f>_xlfn.SUMIFS(D8:D68,$H$8:$H$68,"da")</f>
        <v>110074.22</v>
      </c>
      <c r="E70" s="102">
        <f>_xlfn.SUMIFS(E8:E68,$H$8:$H$68,"da")</f>
        <v>689412.22</v>
      </c>
      <c r="F70" s="123"/>
    </row>
    <row r="71" spans="1:6" ht="12.75">
      <c r="A71" s="116"/>
      <c r="B71" s="146"/>
      <c r="C71" s="147"/>
      <c r="D71" s="147"/>
      <c r="E71" s="147"/>
      <c r="F71" s="123"/>
    </row>
    <row r="72" spans="1:6" ht="12.75">
      <c r="A72" s="116"/>
      <c r="B72" s="146"/>
      <c r="C72" s="147"/>
      <c r="D72" s="147"/>
      <c r="E72" s="147"/>
      <c r="F72" s="123"/>
    </row>
    <row r="73" spans="1:6" ht="15.75">
      <c r="A73" s="116"/>
      <c r="B73" s="148" t="s">
        <v>98</v>
      </c>
      <c r="C73" s="149">
        <f>E69</f>
        <v>745160.62065</v>
      </c>
      <c r="D73" s="147"/>
      <c r="E73" s="147"/>
      <c r="F73" s="123"/>
    </row>
    <row r="74" spans="1:6" ht="15.75">
      <c r="A74" s="116"/>
      <c r="B74" s="150" t="s">
        <v>30</v>
      </c>
      <c r="C74" s="94">
        <f>_xlfn.SUMIFS(E8:E67,F8:F67,"=buget de stat")</f>
        <v>724202.3406499999</v>
      </c>
      <c r="D74" s="147"/>
      <c r="E74" s="147"/>
      <c r="F74" s="123"/>
    </row>
    <row r="75" spans="1:6" ht="15.75">
      <c r="A75" s="116"/>
      <c r="B75" s="150" t="s">
        <v>29</v>
      </c>
      <c r="C75" s="94">
        <f>_xlfn.SUMIFS(E9:E68,F9:F68,"=buget local")</f>
        <v>20958.28</v>
      </c>
      <c r="D75" s="147"/>
      <c r="E75" s="147"/>
      <c r="F75" s="123"/>
    </row>
    <row r="76" spans="1:6" ht="12.75">
      <c r="A76" s="116"/>
      <c r="B76" s="151"/>
      <c r="C76" s="151"/>
      <c r="D76" s="147"/>
      <c r="E76" s="147"/>
      <c r="F76" s="123"/>
    </row>
    <row r="77" spans="1:6" ht="31.5">
      <c r="A77" s="116"/>
      <c r="B77" s="103" t="s">
        <v>113</v>
      </c>
      <c r="C77" s="104" t="s">
        <v>108</v>
      </c>
      <c r="D77" s="104" t="s">
        <v>109</v>
      </c>
      <c r="E77" s="152"/>
      <c r="F77" s="153"/>
    </row>
    <row r="78" spans="1:6" ht="15.75">
      <c r="A78" s="116"/>
      <c r="B78" s="150" t="s">
        <v>110</v>
      </c>
      <c r="C78" s="163">
        <f>_xlfn.SUMIFS(C33:C50,G33:G50,"=da")</f>
        <v>571827</v>
      </c>
      <c r="D78" s="163">
        <f>_xlfn.SUMIFS(C33:C50,G33:G50,"=nu")</f>
        <v>0</v>
      </c>
      <c r="E78" s="152"/>
      <c r="F78" s="153"/>
    </row>
    <row r="79" spans="1:7" ht="15.75">
      <c r="A79" s="116"/>
      <c r="B79" s="150" t="s">
        <v>111</v>
      </c>
      <c r="C79" s="163">
        <f>C78/(C78+D78)*(_xlfn.SUMIFS(C9:C67,G9:G67,"=da")-C78)+C78</f>
        <v>627209.0606500001</v>
      </c>
      <c r="D79" s="163">
        <f>C69-C79</f>
        <v>0</v>
      </c>
      <c r="E79" s="152"/>
      <c r="F79" s="153"/>
      <c r="G79" s="169"/>
    </row>
    <row r="80" spans="1:6" ht="15.75">
      <c r="A80" s="116"/>
      <c r="B80" s="150" t="s">
        <v>126</v>
      </c>
      <c r="C80" s="163">
        <f>C79/260</f>
        <v>2412.342540961539</v>
      </c>
      <c r="D80" s="163" t="s">
        <v>119</v>
      </c>
      <c r="E80" s="152"/>
      <c r="F80" s="153"/>
    </row>
    <row r="81" spans="1:6" ht="21" customHeight="1">
      <c r="A81" s="116"/>
      <c r="B81" s="155" t="s">
        <v>116</v>
      </c>
      <c r="C81" s="163">
        <f>C79/260/C84</f>
        <v>485.46870478789697</v>
      </c>
      <c r="D81" s="163" t="s">
        <v>119</v>
      </c>
      <c r="E81" s="152"/>
      <c r="F81" s="153"/>
    </row>
    <row r="82" spans="1:6" ht="15.75">
      <c r="A82" s="116"/>
      <c r="C82" s="164"/>
      <c r="D82" s="165"/>
      <c r="E82" s="95"/>
      <c r="F82" s="98"/>
    </row>
    <row r="83" spans="1:6" ht="15.75">
      <c r="A83" s="7"/>
      <c r="B83" s="150" t="s">
        <v>106</v>
      </c>
      <c r="C83" s="161">
        <v>45188</v>
      </c>
      <c r="D83" s="166"/>
      <c r="E83" s="110"/>
      <c r="F83" s="98"/>
    </row>
    <row r="84" spans="1:6" ht="15.75">
      <c r="A84" s="116"/>
      <c r="B84" s="150" t="s">
        <v>107</v>
      </c>
      <c r="C84" s="162">
        <v>4.9691</v>
      </c>
      <c r="D84" s="165"/>
      <c r="E84" s="95"/>
      <c r="F84" s="98"/>
    </row>
    <row r="85" spans="1:6" ht="61.5" customHeight="1">
      <c r="A85" s="116"/>
      <c r="B85" s="156" t="s">
        <v>120</v>
      </c>
      <c r="C85" s="114" t="s">
        <v>129</v>
      </c>
      <c r="D85" s="95"/>
      <c r="E85" s="157"/>
      <c r="F85" s="98"/>
    </row>
    <row r="86" spans="1:5" ht="15.75">
      <c r="A86" s="116"/>
      <c r="C86" s="152"/>
      <c r="D86" s="152"/>
      <c r="E86" s="152"/>
    </row>
    <row r="87" ht="12.75">
      <c r="A87" s="116"/>
    </row>
    <row r="88" spans="1:5" ht="12.75">
      <c r="A88" s="116"/>
      <c r="B88" s="158"/>
      <c r="C88" s="159"/>
      <c r="D88" s="160"/>
      <c r="E88" s="160"/>
    </row>
    <row r="89" spans="1:5" ht="15.75">
      <c r="A89" s="108"/>
      <c r="B89" s="109" t="s">
        <v>25</v>
      </c>
      <c r="C89" s="110"/>
      <c r="D89" s="111"/>
      <c r="E89" s="100"/>
    </row>
    <row r="90" spans="2:5" ht="15" customHeight="1">
      <c r="B90" s="112" t="s">
        <v>114</v>
      </c>
      <c r="C90" s="95"/>
      <c r="D90" s="95" t="s">
        <v>122</v>
      </c>
      <c r="E90" s="95"/>
    </row>
    <row r="91" spans="2:5" ht="15.75">
      <c r="B91" s="112" t="s">
        <v>123</v>
      </c>
      <c r="C91" s="95"/>
      <c r="D91" s="95" t="s">
        <v>124</v>
      </c>
      <c r="E91" s="95"/>
    </row>
    <row r="92" spans="2:5" ht="15.75">
      <c r="B92" s="95"/>
      <c r="C92" s="95"/>
      <c r="D92" s="95"/>
      <c r="E92" s="95"/>
    </row>
    <row r="93" spans="2:5" ht="15.75">
      <c r="B93" s="95"/>
      <c r="C93" s="95"/>
      <c r="D93" s="95"/>
      <c r="E93" s="95"/>
    </row>
    <row r="95" ht="12.75">
      <c r="B95" s="4" t="s">
        <v>125</v>
      </c>
    </row>
    <row r="96" ht="12.75">
      <c r="B96" s="4" t="s">
        <v>130</v>
      </c>
    </row>
    <row r="98" ht="12.75">
      <c r="C98" s="4" t="s">
        <v>135</v>
      </c>
    </row>
    <row r="99" spans="2:4" ht="12.75">
      <c r="B99" s="4" t="s">
        <v>136</v>
      </c>
      <c r="D99" s="4" t="s">
        <v>137</v>
      </c>
    </row>
  </sheetData>
  <sheetProtection/>
  <mergeCells count="10">
    <mergeCell ref="A16:E16"/>
    <mergeCell ref="A32:E32"/>
    <mergeCell ref="A52:E52"/>
    <mergeCell ref="A65:E65"/>
    <mergeCell ref="A1:E1"/>
    <mergeCell ref="A3:A5"/>
    <mergeCell ref="B3:B5"/>
    <mergeCell ref="C3:E3"/>
    <mergeCell ref="A7:E7"/>
    <mergeCell ref="A13:E13"/>
  </mergeCells>
  <dataValidations count="4">
    <dataValidation type="list" allowBlank="1" showInputMessage="1" showErrorMessage="1" sqref="F9:F11 F14 F17:F20 F22:F30 F34:F35 F37:F38 F40:F41 F43:F44 F46:F47 F49:F50 F54:F55 F57:F63 F66:F67">
      <formula1>"buget de stat, buget local"</formula1>
    </dataValidation>
    <dataValidation type="list" allowBlank="1" showInputMessage="1" showErrorMessage="1" sqref="F8">
      <formula1>"buget local,buget de stat"</formula1>
    </dataValidation>
    <dataValidation type="date" operator="greaterThanOrEqual" allowBlank="1" showInputMessage="1" showErrorMessage="1" sqref="C83">
      <formula1>44197</formula1>
    </dataValidation>
    <dataValidation type="list" allowBlank="1" showInputMessage="1" showErrorMessage="1" sqref="G49:H50 G46:H47 G14:H14 G17:H20 G22:H30 G34:H35 G37:H38 G40:H41 G43:H44 G66:H67 G8:H11 G54:H63">
      <formula1>"da,nu"</formula1>
    </dataValidation>
  </dataValidations>
  <printOptions/>
  <pageMargins left="0.7086614173228347" right="0.7086614173228347" top="0.5511811023622047" bottom="0.5511811023622047" header="0" footer="0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3">
      <selection activeCell="B96" sqref="B96:D97"/>
    </sheetView>
  </sheetViews>
  <sheetFormatPr defaultColWidth="9.140625" defaultRowHeight="12.75"/>
  <cols>
    <col min="1" max="1" width="5.7109375" style="4" customWidth="1"/>
    <col min="2" max="2" width="45.851562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4" customWidth="1"/>
    <col min="7" max="7" width="14.28125" style="115" customWidth="1"/>
    <col min="8" max="16384" width="9.140625" style="1" customWidth="1"/>
  </cols>
  <sheetData>
    <row r="1" spans="1:6" ht="39.75" customHeight="1">
      <c r="A1" s="179" t="s">
        <v>133</v>
      </c>
      <c r="B1" s="180"/>
      <c r="C1" s="180"/>
      <c r="D1" s="180"/>
      <c r="E1" s="180"/>
      <c r="F1" s="26"/>
    </row>
    <row r="2" spans="1:6" ht="13.5" thickBot="1">
      <c r="A2" s="116"/>
      <c r="B2" s="116"/>
      <c r="C2" s="116"/>
      <c r="D2" s="117"/>
      <c r="E2" s="118"/>
      <c r="F2" s="35"/>
    </row>
    <row r="3" spans="1:8" ht="38.25">
      <c r="A3" s="181" t="s">
        <v>0</v>
      </c>
      <c r="B3" s="183" t="s">
        <v>1</v>
      </c>
      <c r="C3" s="183" t="s">
        <v>28</v>
      </c>
      <c r="D3" s="183"/>
      <c r="E3" s="189"/>
      <c r="F3" s="119" t="s">
        <v>50</v>
      </c>
      <c r="G3" s="119" t="s">
        <v>99</v>
      </c>
      <c r="H3" s="119" t="s">
        <v>112</v>
      </c>
    </row>
    <row r="4" spans="1:7" ht="25.5">
      <c r="A4" s="182"/>
      <c r="B4" s="184"/>
      <c r="C4" s="22" t="s">
        <v>95</v>
      </c>
      <c r="D4" s="9" t="s">
        <v>96</v>
      </c>
      <c r="E4" s="28" t="s">
        <v>97</v>
      </c>
      <c r="F4" s="119"/>
      <c r="G4" s="119"/>
    </row>
    <row r="5" spans="1:6" ht="12.75">
      <c r="A5" s="182"/>
      <c r="B5" s="184"/>
      <c r="C5" s="8" t="s">
        <v>2</v>
      </c>
      <c r="D5" s="10" t="s">
        <v>2</v>
      </c>
      <c r="E5" s="29" t="s">
        <v>2</v>
      </c>
      <c r="F5" s="120"/>
    </row>
    <row r="6" spans="1:5" ht="13.5" thickBot="1">
      <c r="A6" s="42">
        <v>1</v>
      </c>
      <c r="B6" s="43">
        <v>2</v>
      </c>
      <c r="C6" s="43">
        <v>3</v>
      </c>
      <c r="D6" s="44">
        <v>4</v>
      </c>
      <c r="E6" s="45">
        <v>5</v>
      </c>
    </row>
    <row r="7" spans="1:5" ht="33" customHeight="1" thickBot="1">
      <c r="A7" s="172" t="s">
        <v>40</v>
      </c>
      <c r="B7" s="173"/>
      <c r="C7" s="173"/>
      <c r="D7" s="173"/>
      <c r="E7" s="174"/>
    </row>
    <row r="8" spans="1:8" ht="12.75">
      <c r="A8" s="121" t="s">
        <v>3</v>
      </c>
      <c r="B8" s="122" t="s">
        <v>94</v>
      </c>
      <c r="C8" s="66">
        <v>0</v>
      </c>
      <c r="D8" s="70">
        <f>ROUND(0.19*C8,2)</f>
        <v>0</v>
      </c>
      <c r="E8" s="71">
        <f>D8+C8</f>
        <v>0</v>
      </c>
      <c r="F8" s="123" t="s">
        <v>29</v>
      </c>
      <c r="G8" s="115" t="s">
        <v>100</v>
      </c>
      <c r="H8" s="115" t="s">
        <v>100</v>
      </c>
    </row>
    <row r="9" spans="1:8" s="17" customFormat="1" ht="12.75">
      <c r="A9" s="124" t="s">
        <v>4</v>
      </c>
      <c r="B9" s="125" t="s">
        <v>93</v>
      </c>
      <c r="C9" s="67">
        <v>0</v>
      </c>
      <c r="D9" s="72">
        <f>ROUND(0.19*C9,2)</f>
        <v>0</v>
      </c>
      <c r="E9" s="73">
        <f>D9+C9</f>
        <v>0</v>
      </c>
      <c r="F9" s="123" t="s">
        <v>30</v>
      </c>
      <c r="G9" s="115" t="s">
        <v>105</v>
      </c>
      <c r="H9" s="115" t="s">
        <v>105</v>
      </c>
    </row>
    <row r="10" spans="1:8" ht="25.5">
      <c r="A10" s="124" t="s">
        <v>5</v>
      </c>
      <c r="B10" s="126" t="s">
        <v>41</v>
      </c>
      <c r="C10" s="68">
        <v>0</v>
      </c>
      <c r="D10" s="72">
        <f>ROUND(0.19*C10,2)</f>
        <v>0</v>
      </c>
      <c r="E10" s="73">
        <f>D10+C10</f>
        <v>0</v>
      </c>
      <c r="F10" s="123" t="s">
        <v>29</v>
      </c>
      <c r="G10" s="115" t="s">
        <v>105</v>
      </c>
      <c r="H10" s="115" t="s">
        <v>105</v>
      </c>
    </row>
    <row r="11" spans="1:8" s="17" customFormat="1" ht="12.75">
      <c r="A11" s="127" t="s">
        <v>51</v>
      </c>
      <c r="B11" s="126" t="s">
        <v>52</v>
      </c>
      <c r="C11" s="67">
        <v>0</v>
      </c>
      <c r="D11" s="72">
        <f>ROUND(0.19*C11,2)</f>
        <v>0</v>
      </c>
      <c r="E11" s="73">
        <f>D11+C11</f>
        <v>0</v>
      </c>
      <c r="F11" s="123" t="s">
        <v>30</v>
      </c>
      <c r="G11" s="115" t="s">
        <v>105</v>
      </c>
      <c r="H11" s="115" t="s">
        <v>105</v>
      </c>
    </row>
    <row r="12" spans="1:6" ht="15.75" thickBot="1">
      <c r="A12" s="128"/>
      <c r="B12" s="129" t="s">
        <v>38</v>
      </c>
      <c r="C12" s="69">
        <f>_xlfn.SUMIFS(C8:C11,$F$8:$F$11,"&lt;&gt;")</f>
        <v>0</v>
      </c>
      <c r="D12" s="69">
        <f>_xlfn.SUMIFS(D8:D11,$F$8:$F$11,"&lt;&gt;0")</f>
        <v>0</v>
      </c>
      <c r="E12" s="69">
        <f>_xlfn.SUMIFS(E8:E11,$F$8:$F$11,"&lt;&gt;")</f>
        <v>0</v>
      </c>
      <c r="F12" s="123"/>
    </row>
    <row r="13" spans="1:6" ht="33" customHeight="1">
      <c r="A13" s="172" t="s">
        <v>42</v>
      </c>
      <c r="B13" s="173"/>
      <c r="C13" s="173"/>
      <c r="D13" s="173"/>
      <c r="E13" s="174"/>
      <c r="F13" s="123"/>
    </row>
    <row r="14" spans="1:8" ht="25.5">
      <c r="A14" s="124">
        <v>2</v>
      </c>
      <c r="B14" s="126" t="s">
        <v>53</v>
      </c>
      <c r="C14" s="68">
        <f>15000*74.1%</f>
        <v>11115</v>
      </c>
      <c r="D14" s="72">
        <f>ROUND(0.19*C14,2)</f>
        <v>2111.85</v>
      </c>
      <c r="E14" s="73">
        <f>D14+C14</f>
        <v>13226.85</v>
      </c>
      <c r="F14" s="123" t="s">
        <v>30</v>
      </c>
      <c r="G14" s="34" t="s">
        <v>105</v>
      </c>
      <c r="H14" s="34" t="s">
        <v>105</v>
      </c>
    </row>
    <row r="15" spans="1:6" ht="15" thickBot="1">
      <c r="A15" s="130"/>
      <c r="B15" s="131" t="s">
        <v>39</v>
      </c>
      <c r="C15" s="69">
        <f>_xlfn.SUMIFS(C14,$F$14,"&lt;&gt;")</f>
        <v>11115</v>
      </c>
      <c r="D15" s="69">
        <f>_xlfn.SUMIFS(D14,$F$14,"&lt;&gt;")</f>
        <v>2111.85</v>
      </c>
      <c r="E15" s="74">
        <f>_xlfn.SUMIFS(E14,$F$14,"&lt;&gt;")</f>
        <v>13226.85</v>
      </c>
      <c r="F15" s="123"/>
    </row>
    <row r="16" spans="1:6" ht="33" customHeight="1" thickBot="1">
      <c r="A16" s="172" t="s">
        <v>43</v>
      </c>
      <c r="B16" s="173"/>
      <c r="C16" s="173"/>
      <c r="D16" s="173"/>
      <c r="E16" s="174"/>
      <c r="F16" s="123"/>
    </row>
    <row r="17" spans="1:8" ht="12.75">
      <c r="A17" s="121" t="s">
        <v>6</v>
      </c>
      <c r="B17" s="132" t="s">
        <v>54</v>
      </c>
      <c r="C17" s="66">
        <f>4100*74.1%</f>
        <v>3038.1</v>
      </c>
      <c r="D17" s="78">
        <f aca="true" t="shared" si="0" ref="D17:D30">ROUND(0.19*C17,2)</f>
        <v>577.24</v>
      </c>
      <c r="E17" s="79">
        <f aca="true" t="shared" si="1" ref="E17:E30">D17+C17</f>
        <v>3615.34</v>
      </c>
      <c r="F17" s="123" t="s">
        <v>29</v>
      </c>
      <c r="G17" s="115" t="s">
        <v>105</v>
      </c>
      <c r="H17" s="115" t="s">
        <v>100</v>
      </c>
    </row>
    <row r="18" spans="1:8" ht="25.5">
      <c r="A18" s="124" t="s">
        <v>7</v>
      </c>
      <c r="B18" s="126" t="s">
        <v>55</v>
      </c>
      <c r="C18" s="68">
        <v>0</v>
      </c>
      <c r="D18" s="76">
        <f t="shared" si="0"/>
        <v>0</v>
      </c>
      <c r="E18" s="77">
        <f t="shared" si="1"/>
        <v>0</v>
      </c>
      <c r="F18" s="123" t="s">
        <v>29</v>
      </c>
      <c r="G18" s="115" t="s">
        <v>105</v>
      </c>
      <c r="H18" s="115" t="s">
        <v>100</v>
      </c>
    </row>
    <row r="19" spans="1:8" ht="12.75">
      <c r="A19" s="127" t="s">
        <v>8</v>
      </c>
      <c r="B19" s="126" t="s">
        <v>56</v>
      </c>
      <c r="C19" s="68">
        <v>0</v>
      </c>
      <c r="D19" s="76">
        <f t="shared" si="0"/>
        <v>0</v>
      </c>
      <c r="E19" s="77">
        <f t="shared" si="1"/>
        <v>0</v>
      </c>
      <c r="F19" s="123" t="s">
        <v>29</v>
      </c>
      <c r="G19" s="115" t="s">
        <v>105</v>
      </c>
      <c r="H19" s="115" t="s">
        <v>100</v>
      </c>
    </row>
    <row r="20" spans="1:8" ht="25.5">
      <c r="A20" s="127" t="s">
        <v>9</v>
      </c>
      <c r="B20" s="126" t="s">
        <v>57</v>
      </c>
      <c r="C20" s="68">
        <v>0</v>
      </c>
      <c r="D20" s="76">
        <f t="shared" si="0"/>
        <v>0</v>
      </c>
      <c r="E20" s="77">
        <f t="shared" si="1"/>
        <v>0</v>
      </c>
      <c r="F20" s="123" t="s">
        <v>29</v>
      </c>
      <c r="G20" s="115" t="s">
        <v>105</v>
      </c>
      <c r="H20" s="115" t="s">
        <v>100</v>
      </c>
    </row>
    <row r="21" spans="1:8" ht="12.75">
      <c r="A21" s="127" t="s">
        <v>10</v>
      </c>
      <c r="B21" s="133" t="s">
        <v>58</v>
      </c>
      <c r="C21" s="76">
        <f>SUM(C22:C27)</f>
        <v>29269.5</v>
      </c>
      <c r="D21" s="76">
        <f>SUM(D22:D27)</f>
        <v>5561.21</v>
      </c>
      <c r="E21" s="77">
        <f>SUM(E22:E27)</f>
        <v>34830.71000000001</v>
      </c>
      <c r="F21" s="123"/>
      <c r="H21" s="115"/>
    </row>
    <row r="22" spans="1:8" ht="12.75">
      <c r="A22" s="134" t="s">
        <v>59</v>
      </c>
      <c r="B22" s="135" t="s">
        <v>60</v>
      </c>
      <c r="C22" s="75">
        <v>0</v>
      </c>
      <c r="D22" s="80">
        <f t="shared" si="0"/>
        <v>0</v>
      </c>
      <c r="E22" s="81">
        <f t="shared" si="1"/>
        <v>0</v>
      </c>
      <c r="F22" s="123" t="s">
        <v>29</v>
      </c>
      <c r="G22" s="115" t="s">
        <v>105</v>
      </c>
      <c r="H22" s="115" t="s">
        <v>100</v>
      </c>
    </row>
    <row r="23" spans="1:8" ht="12.75">
      <c r="A23" s="134" t="s">
        <v>61</v>
      </c>
      <c r="B23" s="135" t="s">
        <v>62</v>
      </c>
      <c r="C23" s="75">
        <v>0</v>
      </c>
      <c r="D23" s="80">
        <f t="shared" si="0"/>
        <v>0</v>
      </c>
      <c r="E23" s="81">
        <f t="shared" si="1"/>
        <v>0</v>
      </c>
      <c r="F23" s="123" t="s">
        <v>29</v>
      </c>
      <c r="G23" s="115" t="s">
        <v>105</v>
      </c>
      <c r="H23" s="115" t="s">
        <v>100</v>
      </c>
    </row>
    <row r="24" spans="1:8" ht="24">
      <c r="A24" s="134" t="s">
        <v>63</v>
      </c>
      <c r="B24" s="136" t="s">
        <v>64</v>
      </c>
      <c r="C24" s="75">
        <v>0</v>
      </c>
      <c r="D24" s="80">
        <f t="shared" si="0"/>
        <v>0</v>
      </c>
      <c r="E24" s="81">
        <f t="shared" si="1"/>
        <v>0</v>
      </c>
      <c r="F24" s="123" t="s">
        <v>29</v>
      </c>
      <c r="G24" s="115" t="s">
        <v>105</v>
      </c>
      <c r="H24" s="115" t="s">
        <v>100</v>
      </c>
    </row>
    <row r="25" spans="1:8" ht="24">
      <c r="A25" s="134" t="s">
        <v>65</v>
      </c>
      <c r="B25" s="136" t="s">
        <v>66</v>
      </c>
      <c r="C25" s="75">
        <f>7500*74.1%</f>
        <v>5557.5</v>
      </c>
      <c r="D25" s="82">
        <f t="shared" si="0"/>
        <v>1055.93</v>
      </c>
      <c r="E25" s="83">
        <f t="shared" si="1"/>
        <v>6613.43</v>
      </c>
      <c r="F25" s="123" t="s">
        <v>30</v>
      </c>
      <c r="G25" s="115" t="s">
        <v>105</v>
      </c>
      <c r="H25" s="115" t="s">
        <v>100</v>
      </c>
    </row>
    <row r="26" spans="1:8" ht="24">
      <c r="A26" s="134" t="s">
        <v>67</v>
      </c>
      <c r="B26" s="136" t="s">
        <v>104</v>
      </c>
      <c r="C26" s="75">
        <f>5000*74.1%</f>
        <v>3705</v>
      </c>
      <c r="D26" s="82">
        <f t="shared" si="0"/>
        <v>703.95</v>
      </c>
      <c r="E26" s="83">
        <f t="shared" si="1"/>
        <v>4408.95</v>
      </c>
      <c r="F26" s="123" t="s">
        <v>30</v>
      </c>
      <c r="G26" s="115" t="s">
        <v>105</v>
      </c>
      <c r="H26" s="115" t="s">
        <v>100</v>
      </c>
    </row>
    <row r="27" spans="1:8" ht="12.75">
      <c r="A27" s="134" t="s">
        <v>68</v>
      </c>
      <c r="B27" s="136" t="s">
        <v>69</v>
      </c>
      <c r="C27" s="75">
        <f>27000*74.1%</f>
        <v>20007</v>
      </c>
      <c r="D27" s="82">
        <f t="shared" si="0"/>
        <v>3801.33</v>
      </c>
      <c r="E27" s="83">
        <f t="shared" si="1"/>
        <v>23808.33</v>
      </c>
      <c r="F27" s="123" t="s">
        <v>30</v>
      </c>
      <c r="G27" s="115" t="s">
        <v>105</v>
      </c>
      <c r="H27" s="115" t="s">
        <v>100</v>
      </c>
    </row>
    <row r="28" spans="1:8" s="18" customFormat="1" ht="12.75">
      <c r="A28" s="127" t="s">
        <v>12</v>
      </c>
      <c r="B28" s="126" t="s">
        <v>44</v>
      </c>
      <c r="C28" s="75">
        <v>0</v>
      </c>
      <c r="D28" s="76">
        <f t="shared" si="0"/>
        <v>0</v>
      </c>
      <c r="E28" s="77">
        <f t="shared" si="1"/>
        <v>0</v>
      </c>
      <c r="F28" s="137" t="s">
        <v>29</v>
      </c>
      <c r="G28" s="115" t="s">
        <v>105</v>
      </c>
      <c r="H28" s="115" t="s">
        <v>100</v>
      </c>
    </row>
    <row r="29" spans="1:8" s="18" customFormat="1" ht="12.75">
      <c r="A29" s="127" t="s">
        <v>70</v>
      </c>
      <c r="B29" s="126" t="s">
        <v>11</v>
      </c>
      <c r="C29" s="75">
        <f>15000*74.1%</f>
        <v>11115</v>
      </c>
      <c r="D29" s="76">
        <f t="shared" si="0"/>
        <v>2111.85</v>
      </c>
      <c r="E29" s="77">
        <f t="shared" si="1"/>
        <v>13226.85</v>
      </c>
      <c r="F29" s="137" t="s">
        <v>29</v>
      </c>
      <c r="G29" s="115" t="s">
        <v>105</v>
      </c>
      <c r="H29" s="115" t="s">
        <v>100</v>
      </c>
    </row>
    <row r="30" spans="1:8" ht="12.75">
      <c r="A30" s="138" t="s">
        <v>71</v>
      </c>
      <c r="B30" s="139" t="s">
        <v>13</v>
      </c>
      <c r="C30" s="75">
        <f>33000*74.1%</f>
        <v>24453</v>
      </c>
      <c r="D30" s="84">
        <f t="shared" si="0"/>
        <v>4646.07</v>
      </c>
      <c r="E30" s="85">
        <f t="shared" si="1"/>
        <v>29099.07</v>
      </c>
      <c r="F30" s="137" t="s">
        <v>29</v>
      </c>
      <c r="G30" s="115" t="s">
        <v>105</v>
      </c>
      <c r="H30" s="115" t="s">
        <v>100</v>
      </c>
    </row>
    <row r="31" spans="1:6" ht="15.75" thickBot="1">
      <c r="A31" s="128"/>
      <c r="B31" s="129" t="s">
        <v>35</v>
      </c>
      <c r="C31" s="86">
        <f>_xlfn.SUMIFS(C17:C30,$F$17:$F$30,"&lt;&gt;")</f>
        <v>67875.6</v>
      </c>
      <c r="D31" s="86">
        <f>_xlfn.SUMIFS(D17:D30,$F$17:$F$30,"&lt;&gt;")</f>
        <v>12896.369999999999</v>
      </c>
      <c r="E31" s="87">
        <f>_xlfn.SUMIFS(E17:E30,$F$17:$F$30,"&lt;&gt;")</f>
        <v>80771.97</v>
      </c>
      <c r="F31" s="123"/>
    </row>
    <row r="32" spans="1:6" ht="33" customHeight="1">
      <c r="A32" s="175" t="s">
        <v>45</v>
      </c>
      <c r="B32" s="188"/>
      <c r="C32" s="188"/>
      <c r="D32" s="188"/>
      <c r="E32" s="177"/>
      <c r="F32" s="123"/>
    </row>
    <row r="33" spans="1:6" ht="12.75">
      <c r="A33" s="124" t="s">
        <v>14</v>
      </c>
      <c r="B33" s="126" t="s">
        <v>101</v>
      </c>
      <c r="C33" s="76">
        <f>C34+C35</f>
        <v>1636041.45</v>
      </c>
      <c r="D33" s="76">
        <f>D34+D35</f>
        <v>310847.88</v>
      </c>
      <c r="E33" s="77">
        <f>E34+E35</f>
        <v>1946889.33</v>
      </c>
      <c r="F33" s="123"/>
    </row>
    <row r="34" spans="1:8" ht="12.75">
      <c r="A34" s="140" t="str">
        <f>A33&amp;".1"</f>
        <v>4.1.1</v>
      </c>
      <c r="B34" s="49" t="s">
        <v>102</v>
      </c>
      <c r="C34" s="75">
        <f>1591023.45+45018</f>
        <v>1636041.45</v>
      </c>
      <c r="D34" s="80">
        <f>ROUND(0.19*C34,2)</f>
        <v>310847.88</v>
      </c>
      <c r="E34" s="81">
        <f>D34+C34</f>
        <v>1946889.33</v>
      </c>
      <c r="F34" s="170" t="s">
        <v>30</v>
      </c>
      <c r="G34" s="33" t="s">
        <v>105</v>
      </c>
      <c r="H34" s="33" t="s">
        <v>105</v>
      </c>
    </row>
    <row r="35" spans="1:8" ht="12.75">
      <c r="A35" s="140" t="str">
        <f>A33&amp;".2"</f>
        <v>4.1.2</v>
      </c>
      <c r="B35" s="142" t="s">
        <v>103</v>
      </c>
      <c r="C35" s="75">
        <v>0</v>
      </c>
      <c r="D35" s="80">
        <f>ROUND(0.19*C35,2)</f>
        <v>0</v>
      </c>
      <c r="E35" s="81">
        <f>D35+C35</f>
        <v>0</v>
      </c>
      <c r="F35" s="123" t="s">
        <v>30</v>
      </c>
      <c r="G35" s="115" t="s">
        <v>100</v>
      </c>
      <c r="H35" s="115" t="s">
        <v>105</v>
      </c>
    </row>
    <row r="36" spans="1:8" ht="12.75">
      <c r="A36" s="124" t="s">
        <v>15</v>
      </c>
      <c r="B36" s="126" t="s">
        <v>72</v>
      </c>
      <c r="C36" s="76">
        <f>C37+C38</f>
        <v>13530</v>
      </c>
      <c r="D36" s="76">
        <f>D37+D38</f>
        <v>2570.7</v>
      </c>
      <c r="E36" s="77">
        <f>E37+E38</f>
        <v>16100.7</v>
      </c>
      <c r="F36" s="123"/>
      <c r="H36" s="115"/>
    </row>
    <row r="37" spans="1:8" ht="12.75">
      <c r="A37" s="140" t="str">
        <f>A36&amp;".1"</f>
        <v>4.2.1</v>
      </c>
      <c r="B37" s="141" t="s">
        <v>102</v>
      </c>
      <c r="C37" s="75">
        <v>13530</v>
      </c>
      <c r="D37" s="80">
        <f>ROUND(0.19*C37,2)</f>
        <v>2570.7</v>
      </c>
      <c r="E37" s="81">
        <f>D37+C37</f>
        <v>16100.7</v>
      </c>
      <c r="F37" s="123" t="s">
        <v>30</v>
      </c>
      <c r="G37" s="115" t="s">
        <v>105</v>
      </c>
      <c r="H37" s="115" t="s">
        <v>105</v>
      </c>
    </row>
    <row r="38" spans="1:8" ht="12.75">
      <c r="A38" s="140" t="str">
        <f>A36&amp;".2"</f>
        <v>4.2.2</v>
      </c>
      <c r="B38" s="142" t="s">
        <v>103</v>
      </c>
      <c r="C38" s="75">
        <v>0</v>
      </c>
      <c r="D38" s="80">
        <f>ROUND(0.19*C38,2)</f>
        <v>0</v>
      </c>
      <c r="E38" s="81">
        <f>D38+C38</f>
        <v>0</v>
      </c>
      <c r="F38" s="123" t="s">
        <v>30</v>
      </c>
      <c r="G38" s="115" t="s">
        <v>100</v>
      </c>
      <c r="H38" s="115" t="s">
        <v>105</v>
      </c>
    </row>
    <row r="39" spans="1:8" ht="25.5">
      <c r="A39" s="124" t="s">
        <v>16</v>
      </c>
      <c r="B39" s="126" t="s">
        <v>73</v>
      </c>
      <c r="C39" s="76">
        <f>C40+C41</f>
        <v>159900</v>
      </c>
      <c r="D39" s="76">
        <f>D40+D41</f>
        <v>30381</v>
      </c>
      <c r="E39" s="77">
        <f>E40+E41</f>
        <v>190281</v>
      </c>
      <c r="F39" s="123"/>
      <c r="H39" s="115"/>
    </row>
    <row r="40" spans="1:8" ht="12.75">
      <c r="A40" s="140" t="str">
        <f>A39&amp;".1"</f>
        <v>4.3.1</v>
      </c>
      <c r="B40" s="141" t="s">
        <v>102</v>
      </c>
      <c r="C40" s="75">
        <v>159900</v>
      </c>
      <c r="D40" s="80">
        <f>ROUND(0.19*C40,2)</f>
        <v>30381</v>
      </c>
      <c r="E40" s="81">
        <f>D40+C40</f>
        <v>190281</v>
      </c>
      <c r="F40" s="123" t="s">
        <v>30</v>
      </c>
      <c r="G40" s="115" t="s">
        <v>105</v>
      </c>
      <c r="H40" s="115" t="s">
        <v>100</v>
      </c>
    </row>
    <row r="41" spans="1:8" ht="12.75">
      <c r="A41" s="140" t="str">
        <f>A39&amp;".2"</f>
        <v>4.3.2</v>
      </c>
      <c r="B41" s="142" t="s">
        <v>103</v>
      </c>
      <c r="C41" s="75">
        <v>0</v>
      </c>
      <c r="D41" s="80">
        <f>ROUND(0.19*C41,2)</f>
        <v>0</v>
      </c>
      <c r="E41" s="81">
        <f>D41+C41</f>
        <v>0</v>
      </c>
      <c r="F41" s="123" t="s">
        <v>30</v>
      </c>
      <c r="G41" s="115" t="s">
        <v>100</v>
      </c>
      <c r="H41" s="115" t="s">
        <v>100</v>
      </c>
    </row>
    <row r="42" spans="1:8" ht="25.5">
      <c r="A42" s="124" t="s">
        <v>17</v>
      </c>
      <c r="B42" s="126" t="s">
        <v>74</v>
      </c>
      <c r="C42" s="76">
        <f>C43+C44</f>
        <v>0</v>
      </c>
      <c r="D42" s="76">
        <f>D43+D44</f>
        <v>0</v>
      </c>
      <c r="E42" s="77">
        <f>E43+E44</f>
        <v>0</v>
      </c>
      <c r="H42" s="115"/>
    </row>
    <row r="43" spans="1:8" ht="12.75">
      <c r="A43" s="140" t="str">
        <f>A42&amp;".1"</f>
        <v>4.4.1</v>
      </c>
      <c r="B43" s="141" t="s">
        <v>102</v>
      </c>
      <c r="C43" s="75">
        <v>0</v>
      </c>
      <c r="D43" s="80">
        <f>ROUND(0.19*C43,2)</f>
        <v>0</v>
      </c>
      <c r="E43" s="81">
        <f>D43+C43</f>
        <v>0</v>
      </c>
      <c r="F43" s="123" t="s">
        <v>30</v>
      </c>
      <c r="G43" s="115" t="s">
        <v>105</v>
      </c>
      <c r="H43" s="115" t="s">
        <v>100</v>
      </c>
    </row>
    <row r="44" spans="1:8" ht="12.75">
      <c r="A44" s="140" t="str">
        <f>A42&amp;".2"</f>
        <v>4.4.2</v>
      </c>
      <c r="B44" s="142" t="s">
        <v>103</v>
      </c>
      <c r="C44" s="75">
        <v>0</v>
      </c>
      <c r="D44" s="80">
        <f>ROUND(0.19*C44,2)</f>
        <v>0</v>
      </c>
      <c r="E44" s="81">
        <f>D44+C44</f>
        <v>0</v>
      </c>
      <c r="F44" s="123" t="s">
        <v>30</v>
      </c>
      <c r="G44" s="115" t="s">
        <v>100</v>
      </c>
      <c r="H44" s="115" t="s">
        <v>100</v>
      </c>
    </row>
    <row r="45" spans="1:8" ht="12.75">
      <c r="A45" s="124" t="s">
        <v>18</v>
      </c>
      <c r="B45" s="126" t="s">
        <v>46</v>
      </c>
      <c r="C45" s="76">
        <f>C46+C47</f>
        <v>0</v>
      </c>
      <c r="D45" s="76">
        <f>D46+D47</f>
        <v>0</v>
      </c>
      <c r="E45" s="77">
        <f>E46+E47</f>
        <v>0</v>
      </c>
      <c r="F45" s="123"/>
      <c r="H45" s="115"/>
    </row>
    <row r="46" spans="1:8" ht="12.75">
      <c r="A46" s="140" t="str">
        <f>A45&amp;".1"</f>
        <v>4.5.1</v>
      </c>
      <c r="B46" s="141" t="s">
        <v>102</v>
      </c>
      <c r="C46" s="75">
        <v>0</v>
      </c>
      <c r="D46" s="80">
        <f>ROUND(0.19*C46,2)</f>
        <v>0</v>
      </c>
      <c r="E46" s="81">
        <f>D46+C46</f>
        <v>0</v>
      </c>
      <c r="F46" s="123" t="s">
        <v>30</v>
      </c>
      <c r="G46" s="115" t="s">
        <v>105</v>
      </c>
      <c r="H46" s="115" t="s">
        <v>100</v>
      </c>
    </row>
    <row r="47" spans="1:8" ht="12.75">
      <c r="A47" s="140" t="str">
        <f>A45&amp;".2"</f>
        <v>4.5.2</v>
      </c>
      <c r="B47" s="142" t="s">
        <v>103</v>
      </c>
      <c r="C47" s="75">
        <v>0</v>
      </c>
      <c r="D47" s="80">
        <f>ROUND(0.19*C47,2)</f>
        <v>0</v>
      </c>
      <c r="E47" s="81">
        <f>D47+C47</f>
        <v>0</v>
      </c>
      <c r="F47" s="123" t="s">
        <v>30</v>
      </c>
      <c r="G47" s="115" t="s">
        <v>100</v>
      </c>
      <c r="H47" s="115" t="s">
        <v>100</v>
      </c>
    </row>
    <row r="48" spans="1:8" ht="12.75">
      <c r="A48" s="124" t="s">
        <v>26</v>
      </c>
      <c r="B48" s="126" t="s">
        <v>27</v>
      </c>
      <c r="C48" s="76">
        <f>C49+C50</f>
        <v>0</v>
      </c>
      <c r="D48" s="76">
        <f>D49+D50</f>
        <v>0</v>
      </c>
      <c r="E48" s="77">
        <f>E49+E50</f>
        <v>0</v>
      </c>
      <c r="F48" s="123"/>
      <c r="H48" s="115"/>
    </row>
    <row r="49" spans="1:8" ht="12.75">
      <c r="A49" s="140" t="str">
        <f>A48&amp;".1"</f>
        <v>4.6.1</v>
      </c>
      <c r="B49" s="141" t="s">
        <v>102</v>
      </c>
      <c r="C49" s="75">
        <v>0</v>
      </c>
      <c r="D49" s="80">
        <f>ROUND(0.19*C49,2)</f>
        <v>0</v>
      </c>
      <c r="E49" s="81">
        <f>D49+C49</f>
        <v>0</v>
      </c>
      <c r="F49" s="123" t="s">
        <v>30</v>
      </c>
      <c r="G49" s="115" t="s">
        <v>105</v>
      </c>
      <c r="H49" s="115" t="s">
        <v>100</v>
      </c>
    </row>
    <row r="50" spans="1:8" ht="12.75">
      <c r="A50" s="140" t="str">
        <f>A48&amp;".2"</f>
        <v>4.6.2</v>
      </c>
      <c r="B50" s="142" t="s">
        <v>103</v>
      </c>
      <c r="C50" s="75">
        <v>0</v>
      </c>
      <c r="D50" s="80">
        <f>ROUND(0.19*C50,2)</f>
        <v>0</v>
      </c>
      <c r="E50" s="81">
        <f>D50+C50</f>
        <v>0</v>
      </c>
      <c r="F50" s="123" t="s">
        <v>30</v>
      </c>
      <c r="G50" s="115" t="s">
        <v>100</v>
      </c>
      <c r="H50" s="115" t="s">
        <v>100</v>
      </c>
    </row>
    <row r="51" spans="1:8" ht="15" thickBot="1">
      <c r="A51" s="130"/>
      <c r="B51" s="129" t="s">
        <v>34</v>
      </c>
      <c r="C51" s="86">
        <f>_xlfn.SUMIFS(C33:C50,$F$33:$F$50,"&lt;&gt;")</f>
        <v>1809471.45</v>
      </c>
      <c r="D51" s="86">
        <f>_xlfn.SUMIFS(D33:D50,$F$33:$F$50,"&lt;&gt;")</f>
        <v>343799.58</v>
      </c>
      <c r="E51" s="87">
        <f>_xlfn.SUMIFS(E33:E50,$F$33:$F$50,"&lt;&gt;")</f>
        <v>2153271.0300000003</v>
      </c>
      <c r="F51" s="123"/>
      <c r="H51" s="115"/>
    </row>
    <row r="52" spans="1:8" ht="33" customHeight="1">
      <c r="A52" s="172" t="s">
        <v>19</v>
      </c>
      <c r="B52" s="173"/>
      <c r="C52" s="173"/>
      <c r="D52" s="173"/>
      <c r="E52" s="174"/>
      <c r="F52" s="123"/>
      <c r="H52" s="115"/>
    </row>
    <row r="53" spans="1:8" ht="12.75">
      <c r="A53" s="124" t="s">
        <v>20</v>
      </c>
      <c r="B53" s="125" t="s">
        <v>89</v>
      </c>
      <c r="C53" s="76">
        <f>C54+C55</f>
        <v>16302</v>
      </c>
      <c r="D53" s="76">
        <f>D54+D55</f>
        <v>3097.38</v>
      </c>
      <c r="E53" s="77">
        <f>E54+E55</f>
        <v>19399.379999999997</v>
      </c>
      <c r="F53" s="123"/>
      <c r="H53" s="115"/>
    </row>
    <row r="54" spans="1:8" ht="25.5">
      <c r="A54" s="143" t="s">
        <v>33</v>
      </c>
      <c r="B54" s="141" t="s">
        <v>75</v>
      </c>
      <c r="C54" s="75">
        <f>14000*74.1%</f>
        <v>10374</v>
      </c>
      <c r="D54" s="76">
        <f>ROUND(0.19*C54,2)</f>
        <v>1971.06</v>
      </c>
      <c r="E54" s="77">
        <f>D54+C54</f>
        <v>12345.06</v>
      </c>
      <c r="F54" s="123" t="s">
        <v>30</v>
      </c>
      <c r="G54" s="115" t="s">
        <v>105</v>
      </c>
      <c r="H54" s="115" t="s">
        <v>105</v>
      </c>
    </row>
    <row r="55" spans="1:8" ht="12.75">
      <c r="A55" s="143" t="s">
        <v>47</v>
      </c>
      <c r="B55" s="142" t="s">
        <v>76</v>
      </c>
      <c r="C55" s="75">
        <f>8000*74.1%</f>
        <v>5928</v>
      </c>
      <c r="D55" s="76">
        <f>C55*19/100</f>
        <v>1126.32</v>
      </c>
      <c r="E55" s="77">
        <f>D55+C55</f>
        <v>7054.32</v>
      </c>
      <c r="F55" s="123" t="s">
        <v>29</v>
      </c>
      <c r="G55" s="115" t="s">
        <v>105</v>
      </c>
      <c r="H55" s="115" t="s">
        <v>100</v>
      </c>
    </row>
    <row r="56" spans="1:8" ht="12.75">
      <c r="A56" s="124" t="s">
        <v>21</v>
      </c>
      <c r="B56" s="126" t="s">
        <v>48</v>
      </c>
      <c r="C56" s="76">
        <f>SUM(C57:C61)</f>
        <v>18342.99558</v>
      </c>
      <c r="D56" s="76">
        <f>SUM(D57:D61)</f>
        <v>0</v>
      </c>
      <c r="E56" s="77">
        <f>SUM(E57:E61)</f>
        <v>18342.99558</v>
      </c>
      <c r="F56" s="123"/>
      <c r="H56" s="115"/>
    </row>
    <row r="57" spans="1:8" ht="25.5">
      <c r="A57" s="144" t="s">
        <v>77</v>
      </c>
      <c r="B57" s="145" t="s">
        <v>78</v>
      </c>
      <c r="C57" s="75">
        <v>0</v>
      </c>
      <c r="D57" s="76">
        <f>ROUND(0.19*C57,2)</f>
        <v>0</v>
      </c>
      <c r="E57" s="77">
        <f aca="true" t="shared" si="2" ref="E57:E63">D57+C57</f>
        <v>0</v>
      </c>
      <c r="F57" s="123" t="s">
        <v>29</v>
      </c>
      <c r="G57" s="115" t="s">
        <v>105</v>
      </c>
      <c r="H57" s="115" t="s">
        <v>100</v>
      </c>
    </row>
    <row r="58" spans="1:8" ht="25.5">
      <c r="A58" s="144" t="s">
        <v>79</v>
      </c>
      <c r="B58" s="145" t="s">
        <v>80</v>
      </c>
      <c r="C58" s="75">
        <f>11251.99*74.1%</f>
        <v>8337.72459</v>
      </c>
      <c r="D58" s="76">
        <f>ROUND(0*C58,2)</f>
        <v>0</v>
      </c>
      <c r="E58" s="77">
        <f t="shared" si="2"/>
        <v>8337.72459</v>
      </c>
      <c r="F58" s="123" t="s">
        <v>30</v>
      </c>
      <c r="G58" s="115" t="s">
        <v>105</v>
      </c>
      <c r="H58" s="115" t="s">
        <v>100</v>
      </c>
    </row>
    <row r="59" spans="1:8" ht="38.25">
      <c r="A59" s="144" t="s">
        <v>81</v>
      </c>
      <c r="B59" s="145" t="s">
        <v>82</v>
      </c>
      <c r="C59" s="75">
        <f>2250.4*74.1%</f>
        <v>1667.5464</v>
      </c>
      <c r="D59" s="76">
        <f>ROUND(0*C59,2)</f>
        <v>0</v>
      </c>
      <c r="E59" s="77">
        <f t="shared" si="2"/>
        <v>1667.5464</v>
      </c>
      <c r="F59" s="123" t="s">
        <v>30</v>
      </c>
      <c r="G59" s="34" t="s">
        <v>105</v>
      </c>
      <c r="H59" s="34" t="s">
        <v>100</v>
      </c>
    </row>
    <row r="60" spans="1:8" ht="12.75">
      <c r="A60" s="144" t="s">
        <v>83</v>
      </c>
      <c r="B60" s="145" t="s">
        <v>84</v>
      </c>
      <c r="C60" s="75">
        <f>11251.99*74.1%</f>
        <v>8337.72459</v>
      </c>
      <c r="D60" s="76">
        <f>ROUND(0*C60,2)</f>
        <v>0</v>
      </c>
      <c r="E60" s="77">
        <f t="shared" si="2"/>
        <v>8337.72459</v>
      </c>
      <c r="F60" s="123" t="s">
        <v>30</v>
      </c>
      <c r="G60" s="115" t="s">
        <v>105</v>
      </c>
      <c r="H60" s="115" t="s">
        <v>100</v>
      </c>
    </row>
    <row r="61" spans="1:8" ht="25.5">
      <c r="A61" s="144" t="s">
        <v>85</v>
      </c>
      <c r="B61" s="145" t="s">
        <v>86</v>
      </c>
      <c r="C61" s="75">
        <v>0</v>
      </c>
      <c r="D61" s="76">
        <f>C61*19/100</f>
        <v>0</v>
      </c>
      <c r="E61" s="77">
        <f t="shared" si="2"/>
        <v>0</v>
      </c>
      <c r="F61" s="123" t="s">
        <v>29</v>
      </c>
      <c r="G61" s="34" t="s">
        <v>105</v>
      </c>
      <c r="H61" s="34" t="s">
        <v>100</v>
      </c>
    </row>
    <row r="62" spans="1:8" ht="12.75">
      <c r="A62" s="124" t="s">
        <v>22</v>
      </c>
      <c r="B62" s="126" t="s">
        <v>31</v>
      </c>
      <c r="C62" s="75">
        <f>49375.97*74.1%</f>
        <v>36587.59377</v>
      </c>
      <c r="D62" s="76">
        <f>C62*19/100</f>
        <v>6951.6428163</v>
      </c>
      <c r="E62" s="77">
        <f t="shared" si="2"/>
        <v>43539.2365863</v>
      </c>
      <c r="F62" s="123" t="s">
        <v>30</v>
      </c>
      <c r="G62" s="115" t="s">
        <v>105</v>
      </c>
      <c r="H62" s="115" t="s">
        <v>100</v>
      </c>
    </row>
    <row r="63" spans="1:8" ht="12.75">
      <c r="A63" s="127" t="s">
        <v>87</v>
      </c>
      <c r="B63" s="126" t="s">
        <v>88</v>
      </c>
      <c r="C63" s="75">
        <f>7900*74.1%</f>
        <v>5853.9</v>
      </c>
      <c r="D63" s="76">
        <f>C63*19/100</f>
        <v>1112.241</v>
      </c>
      <c r="E63" s="77">
        <f t="shared" si="2"/>
        <v>6966.141</v>
      </c>
      <c r="F63" s="123" t="s">
        <v>29</v>
      </c>
      <c r="G63" s="115" t="s">
        <v>105</v>
      </c>
      <c r="H63" s="115" t="s">
        <v>100</v>
      </c>
    </row>
    <row r="64" spans="1:8" ht="15" thickBot="1">
      <c r="A64" s="130"/>
      <c r="B64" s="131" t="s">
        <v>36</v>
      </c>
      <c r="C64" s="86">
        <f>_xlfn.SUMIFS(C53:C63,$F$53:$F$63,"&lt;&gt;")</f>
        <v>77086.48934999999</v>
      </c>
      <c r="D64" s="86">
        <f>D53+D56+D62+D63</f>
        <v>11161.2638163</v>
      </c>
      <c r="E64" s="87">
        <f>C64+D64</f>
        <v>88247.75316629998</v>
      </c>
      <c r="F64" s="123"/>
      <c r="H64" s="115"/>
    </row>
    <row r="65" spans="1:8" ht="33" customHeight="1">
      <c r="A65" s="172" t="s">
        <v>90</v>
      </c>
      <c r="B65" s="173"/>
      <c r="C65" s="173"/>
      <c r="D65" s="173"/>
      <c r="E65" s="174"/>
      <c r="F65" s="123"/>
      <c r="H65" s="115"/>
    </row>
    <row r="66" spans="1:8" ht="12.75">
      <c r="A66" s="124" t="s">
        <v>23</v>
      </c>
      <c r="B66" s="126" t="s">
        <v>91</v>
      </c>
      <c r="C66" s="75">
        <v>0</v>
      </c>
      <c r="D66" s="76">
        <f>0.19*C66</f>
        <v>0</v>
      </c>
      <c r="E66" s="77">
        <f>C66*1.19</f>
        <v>0</v>
      </c>
      <c r="F66" s="123" t="s">
        <v>29</v>
      </c>
      <c r="G66" s="115" t="s">
        <v>105</v>
      </c>
      <c r="H66" s="115" t="s">
        <v>100</v>
      </c>
    </row>
    <row r="67" spans="1:8" ht="12.75">
      <c r="A67" s="124" t="s">
        <v>24</v>
      </c>
      <c r="B67" s="126" t="s">
        <v>49</v>
      </c>
      <c r="C67" s="75">
        <f>3200*74.1%</f>
        <v>2371.2</v>
      </c>
      <c r="D67" s="76">
        <f>ROUND(0.19*C67,2)</f>
        <v>450.53</v>
      </c>
      <c r="E67" s="77">
        <f>D67+C67</f>
        <v>2821.7299999999996</v>
      </c>
      <c r="F67" s="123" t="s">
        <v>30</v>
      </c>
      <c r="G67" s="115" t="s">
        <v>105</v>
      </c>
      <c r="H67" s="115" t="s">
        <v>100</v>
      </c>
    </row>
    <row r="68" spans="1:6" ht="15" thickBot="1">
      <c r="A68" s="130"/>
      <c r="B68" s="129" t="s">
        <v>37</v>
      </c>
      <c r="C68" s="86">
        <f>_xlfn.SUMIFS(C66:C67,$F$66:$F$67,"&lt;&gt;")</f>
        <v>2371.2</v>
      </c>
      <c r="D68" s="86">
        <f>_xlfn.SUMIFS(D66:D67,$F$66:$F$67,"&lt;&gt;")</f>
        <v>450.53</v>
      </c>
      <c r="E68" s="87">
        <f>_xlfn.SUMIFS(E66:E67,$F$66:$F$67,"&lt;&gt;")</f>
        <v>2821.7299999999996</v>
      </c>
      <c r="F68" s="123"/>
    </row>
    <row r="69" spans="1:6" ht="16.5" thickBot="1">
      <c r="A69" s="88"/>
      <c r="B69" s="89" t="s">
        <v>32</v>
      </c>
      <c r="C69" s="101">
        <f>_xlfn.SUMIFS(C8:C68,$F$8:$F$68,"&lt;&gt;")</f>
        <v>1967919.73935</v>
      </c>
      <c r="D69" s="101">
        <f>_xlfn.SUMIFS(D8:D68,$F$8:$F$68,"&lt;&gt;")</f>
        <v>370419.5938163</v>
      </c>
      <c r="E69" s="102">
        <f>C69+D69</f>
        <v>2338339.3331663</v>
      </c>
      <c r="F69" s="123"/>
    </row>
    <row r="70" spans="1:6" ht="29.25" thickBot="1">
      <c r="A70" s="90"/>
      <c r="B70" s="91" t="s">
        <v>92</v>
      </c>
      <c r="C70" s="101">
        <f>_xlfn.SUMIFS(C8:C68,$H$8:$H$68,"da")</f>
        <v>1671060.45</v>
      </c>
      <c r="D70" s="101">
        <f>_xlfn.SUMIFS(D8:D68,$H$8:$H$68,"da")</f>
        <v>317501.49</v>
      </c>
      <c r="E70" s="102">
        <f>C70+D70</f>
        <v>1988561.94</v>
      </c>
      <c r="F70" s="123"/>
    </row>
    <row r="71" spans="1:6" ht="12.75">
      <c r="A71" s="116"/>
      <c r="B71" s="146"/>
      <c r="C71" s="147"/>
      <c r="D71" s="147"/>
      <c r="E71" s="147"/>
      <c r="F71" s="123"/>
    </row>
    <row r="72" spans="1:6" ht="12.75">
      <c r="A72" s="116"/>
      <c r="B72" s="146"/>
      <c r="C72" s="147"/>
      <c r="D72" s="147"/>
      <c r="E72" s="147"/>
      <c r="F72" s="123"/>
    </row>
    <row r="73" spans="1:6" ht="12.75">
      <c r="A73" s="116"/>
      <c r="B73" s="146"/>
      <c r="C73" s="147"/>
      <c r="D73" s="147"/>
      <c r="E73" s="147"/>
      <c r="F73" s="123"/>
    </row>
    <row r="74" spans="1:6" ht="15.75">
      <c r="A74" s="116"/>
      <c r="B74" s="148" t="s">
        <v>98</v>
      </c>
      <c r="C74" s="149">
        <f>E69</f>
        <v>2338339.3331663</v>
      </c>
      <c r="D74" s="147"/>
      <c r="E74" s="147"/>
      <c r="F74" s="123"/>
    </row>
    <row r="75" spans="1:6" ht="15.75">
      <c r="A75" s="116"/>
      <c r="B75" s="150" t="s">
        <v>30</v>
      </c>
      <c r="C75" s="94">
        <f>_xlfn.SUMIFS(E8:E67,F8:F67,"=buget de stat")</f>
        <v>2278377.6121663004</v>
      </c>
      <c r="D75" s="147"/>
      <c r="E75" s="147"/>
      <c r="F75" s="123"/>
    </row>
    <row r="76" spans="1:6" ht="15.75">
      <c r="A76" s="116"/>
      <c r="B76" s="150" t="s">
        <v>29</v>
      </c>
      <c r="C76" s="94">
        <f>_xlfn.SUMIFS(E9:E68,F9:F68,"=buget local")</f>
        <v>59961.721000000005</v>
      </c>
      <c r="D76" s="147"/>
      <c r="E76" s="147"/>
      <c r="F76" s="123"/>
    </row>
    <row r="77" spans="1:6" ht="12.75">
      <c r="A77" s="116"/>
      <c r="B77" s="151"/>
      <c r="C77" s="151"/>
      <c r="D77" s="147"/>
      <c r="E77" s="147"/>
      <c r="F77" s="123"/>
    </row>
    <row r="78" spans="1:6" ht="31.5">
      <c r="A78" s="116"/>
      <c r="B78" s="103" t="s">
        <v>113</v>
      </c>
      <c r="C78" s="104" t="s">
        <v>108</v>
      </c>
      <c r="D78" s="104" t="s">
        <v>109</v>
      </c>
      <c r="E78" s="152"/>
      <c r="F78" s="153"/>
    </row>
    <row r="79" spans="1:6" ht="15.75">
      <c r="A79" s="116"/>
      <c r="B79" s="150" t="s">
        <v>110</v>
      </c>
      <c r="C79" s="163">
        <f>_xlfn.SUMIFS(C33:C50,G33:G50,"=da")</f>
        <v>1809471.45</v>
      </c>
      <c r="D79" s="163">
        <f>_xlfn.SUMIFS(C33:C50,G33:G50,"=nu")</f>
        <v>0</v>
      </c>
      <c r="E79" s="152"/>
      <c r="F79" s="153"/>
    </row>
    <row r="80" spans="1:7" ht="15.75">
      <c r="A80" s="116"/>
      <c r="B80" s="150" t="s">
        <v>111</v>
      </c>
      <c r="C80" s="163">
        <f>C79/(C79+D79)*(_xlfn.SUMIFS(C9:C67,G9:G67,"=da")-C79)+C79</f>
        <v>1967919.73935</v>
      </c>
      <c r="D80" s="163">
        <f>C69-C80</f>
        <v>0</v>
      </c>
      <c r="E80" s="152"/>
      <c r="F80" s="153"/>
      <c r="G80" s="154"/>
    </row>
    <row r="81" spans="1:6" ht="15.75">
      <c r="A81" s="116"/>
      <c r="B81" s="150" t="s">
        <v>127</v>
      </c>
      <c r="C81" s="163">
        <f>C80/260</f>
        <v>7568.922074423077</v>
      </c>
      <c r="D81" s="163">
        <v>0</v>
      </c>
      <c r="E81" s="152"/>
      <c r="F81" s="153"/>
    </row>
    <row r="82" spans="1:6" ht="15.75">
      <c r="A82" s="116"/>
      <c r="B82" s="155" t="s">
        <v>118</v>
      </c>
      <c r="C82" s="163">
        <f>C80/260/C85</f>
        <v>1523.1977771473862</v>
      </c>
      <c r="D82" s="163">
        <v>0</v>
      </c>
      <c r="E82" s="152"/>
      <c r="F82" s="153"/>
    </row>
    <row r="83" spans="1:6" ht="15.75">
      <c r="A83" s="116"/>
      <c r="C83" s="164"/>
      <c r="D83" s="165"/>
      <c r="E83" s="95"/>
      <c r="F83" s="98"/>
    </row>
    <row r="84" spans="1:6" ht="15.75">
      <c r="A84" s="7"/>
      <c r="B84" s="150" t="s">
        <v>106</v>
      </c>
      <c r="C84" s="161">
        <v>45188</v>
      </c>
      <c r="D84" s="166"/>
      <c r="E84" s="110"/>
      <c r="F84" s="98"/>
    </row>
    <row r="85" spans="1:6" ht="15.75">
      <c r="A85" s="116"/>
      <c r="B85" s="150" t="s">
        <v>107</v>
      </c>
      <c r="C85" s="162">
        <v>4.9691</v>
      </c>
      <c r="D85" s="165"/>
      <c r="E85" s="95"/>
      <c r="F85" s="98"/>
    </row>
    <row r="86" spans="1:6" ht="47.25">
      <c r="A86" s="116"/>
      <c r="B86" s="156" t="s">
        <v>128</v>
      </c>
      <c r="C86" s="114" t="s">
        <v>129</v>
      </c>
      <c r="D86" s="166"/>
      <c r="E86" s="110"/>
      <c r="F86" s="98"/>
    </row>
    <row r="87" spans="1:5" ht="15.75">
      <c r="A87" s="116"/>
      <c r="C87" s="152"/>
      <c r="D87" s="152"/>
      <c r="E87" s="152"/>
    </row>
    <row r="88" spans="1:5" ht="15.75">
      <c r="A88" s="108"/>
      <c r="B88" s="109" t="s">
        <v>25</v>
      </c>
      <c r="C88" s="110"/>
      <c r="D88" s="111"/>
      <c r="E88" s="100"/>
    </row>
    <row r="89" spans="2:5" ht="15.75">
      <c r="B89" s="112" t="s">
        <v>114</v>
      </c>
      <c r="C89" s="95"/>
      <c r="D89" s="113" t="s">
        <v>122</v>
      </c>
      <c r="E89" s="95"/>
    </row>
    <row r="90" spans="2:5" ht="15.75">
      <c r="B90" s="112" t="s">
        <v>123</v>
      </c>
      <c r="C90" s="95"/>
      <c r="D90" s="95" t="s">
        <v>124</v>
      </c>
      <c r="E90" s="95"/>
    </row>
    <row r="91" spans="2:5" ht="15.75">
      <c r="B91" s="95"/>
      <c r="C91" s="95"/>
      <c r="D91" s="95"/>
      <c r="E91" s="95"/>
    </row>
    <row r="92" spans="2:5" ht="15.75">
      <c r="B92" s="95"/>
      <c r="C92" s="95"/>
      <c r="D92" s="95"/>
      <c r="E92" s="95"/>
    </row>
    <row r="94" ht="12.75">
      <c r="B94" s="4" t="s">
        <v>125</v>
      </c>
    </row>
    <row r="95" ht="12.75">
      <c r="B95" s="4" t="s">
        <v>130</v>
      </c>
    </row>
    <row r="96" ht="12.75">
      <c r="C96" s="4" t="s">
        <v>135</v>
      </c>
    </row>
    <row r="97" spans="2:4" ht="12.75">
      <c r="B97" s="4" t="s">
        <v>136</v>
      </c>
      <c r="D97" s="4" t="s">
        <v>137</v>
      </c>
    </row>
  </sheetData>
  <sheetProtection/>
  <mergeCells count="10">
    <mergeCell ref="A16:E16"/>
    <mergeCell ref="A32:E32"/>
    <mergeCell ref="A52:E52"/>
    <mergeCell ref="A65:E65"/>
    <mergeCell ref="A1:E1"/>
    <mergeCell ref="A3:A5"/>
    <mergeCell ref="B3:B5"/>
    <mergeCell ref="C3:E3"/>
    <mergeCell ref="A7:E7"/>
    <mergeCell ref="A13:E13"/>
  </mergeCells>
  <dataValidations count="4">
    <dataValidation type="list" allowBlank="1" showInputMessage="1" showErrorMessage="1" sqref="F9:F11 F14 F17:F20 F22:F30 F34:F35 F37:F38 F40:F41 F43:F44 F46:F47 F49:F50 F54:F55 F57:F63 F66:F67">
      <formula1>"buget de stat, buget local"</formula1>
    </dataValidation>
    <dataValidation type="list" allowBlank="1" showInputMessage="1" showErrorMessage="1" sqref="F8">
      <formula1>"buget local,buget de stat"</formula1>
    </dataValidation>
    <dataValidation type="date" operator="greaterThanOrEqual" allowBlank="1" showInputMessage="1" showErrorMessage="1" sqref="C84">
      <formula1>44197</formula1>
    </dataValidation>
    <dataValidation type="list" allowBlank="1" showInputMessage="1" showErrorMessage="1" sqref="G49:H50 G46:H47 G14:H14 G17:H20 G22:H30 G34:H35 G37:H38 G40:H41 G43:H44 G66:H67 G8:H11 G54:H63">
      <formula1>"da,nu"</formula1>
    </dataValidation>
  </dataValidations>
  <printOptions/>
  <pageMargins left="0.7086614173228347" right="0.7086614173228347" top="0.5511811023622047" bottom="0.5511811023622047" header="0" footer="0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Mirela Tatar-Sinca</cp:lastModifiedBy>
  <cp:lastPrinted>2023-09-21T08:22:07Z</cp:lastPrinted>
  <dcterms:created xsi:type="dcterms:W3CDTF">2010-01-11T12:40:54Z</dcterms:created>
  <dcterms:modified xsi:type="dcterms:W3CDTF">2023-10-03T12:23:12Z</dcterms:modified>
  <cp:category/>
  <cp:version/>
  <cp:contentType/>
  <cp:contentStatus/>
</cp:coreProperties>
</file>