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1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<sst xmlns="http://schemas.openxmlformats.org/spreadsheetml/2006/main" count="259" uniqueCount="126">
  <si>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</si>
  <si>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</si>
  <si>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</si>
  <si>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</si>
  <si>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</si>
  <si>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</si>
  <si>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</si>
  <si>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</si>
  <si>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</si>
  <si>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</si>
  <si>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</si>
  <si>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</si>
  <si>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</si>
  <si>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</si>
  <si>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</si>
  <si>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</si>
  <si>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</si>
  <si>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</si>
  <si>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</si>
  <si>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</si>
  <si>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</si>
  <si>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</si>
  <si>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</si>
  <si>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</si>
  <si>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</si>
  <si>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</si>
  <si>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</si>
  <si>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</si>
  <si>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</si>
  <si>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</si>
  <si>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</si>
  <si>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</si>
  <si>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</si>
  <si>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</si>
  <si>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</si>
  <si>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</si>
  <si>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</si>
  <si>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</si>
  <si>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</si>
  <si>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</si>
  <si>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</si>
  <si>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</si>
  <si>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</si>
  <si>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</si>
  <si>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</si>
  <si>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</si>
  <si>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</si>
  <si>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</si>
  <si>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</si>
  <si>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</si>
  <si>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</si>
  <si>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</si>
  <si>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</si>
  <si>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</si>
  <si>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</si>
  <si>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</si>
  <si>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</si>
  <si>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</si>
  <si>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</si>
  <si>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</si>
  <si>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</si>
  <si>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</si>
  <si>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</si>
  <si>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</si>
  <si>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</si>
  <si>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</si>
  <si>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</si>
  <si>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</si>
  <si>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</si>
  <si>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</si>
  <si>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</si>
  <si>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</si>
  <si>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</si>
  <si>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</si>
  <si>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</si>
  <si>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</si>
  <si>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</si>
  <si>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</si>
  <si>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</si>
  <si>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</si>
  <si>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</si>
  <si>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</si>
  <si>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</si>
  <si>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</si>
  <si>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</si>
  <si>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</si>
  <si>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</si>
  <si>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</si>
  <si>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</si>
  <si>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</si>
  <si>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</si>
  <si>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</si>
  <si>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</si>
  <si>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</si>
  <si>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</si>
  <si>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</si>
  <si>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</si>
  <si>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</si>
  <si>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</si>
  <si>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</si>
  <si>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</si>
  <si>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</si>
  <si>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</si>
  <si>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</si>
  <si>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</si>
  <si>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</si>
  <si>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</si>
  <si>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</si>
  <si>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</si>
  <si>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</si>
  <si>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</si>
  <si>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</si>
  <si>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</si>
  <si>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</si>
  <si>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</si>
  <si>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</si>
  <si>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</si>
  <si>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</si>
  <si>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Municipiul Satu Mare</t>
  </si>
  <si>
    <t>Valoarea de referință pentru determinarea încadrării în standardul de cost (locuitori beneficiari/locuitori echivalenți beneficiari/km)</t>
  </si>
  <si>
    <t>DEVIZ  GENERAL 
al obiectivului de investiţie : "Modernizare strada Grădinarilor"</t>
  </si>
  <si>
    <t>2,146 km</t>
  </si>
  <si>
    <t>Kereskényi Gábor</t>
  </si>
  <si>
    <t>Președinte de ședință</t>
  </si>
  <si>
    <t>Secretar general</t>
  </si>
  <si>
    <t>ANEXA  NR. 2
la Hotărârea Consiliului local al municipiului Satu Mare
Nr.56/03.02.2023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</si>
</sst>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2" xfId="0" applyFont="1" applyFill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Alignment="1" applyProtection="1">
      <alignment horizontal="center" vertical="center" wrapText="1"/>
      <protection hidden="1"/>
    </xf>
    <xf numFmtId="173" fontId="58" fillId="0" borderId="0" xfId="0" applyNumberFormat="1" applyFont="1" applyAlignment="1" applyProtection="1">
      <alignment horizontal="center" vertical="center" wrapText="1"/>
      <protection hidden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="110" zoomScaleNormal="110" zoomScalePageLayoutView="0" workbookViewId="0" topLeftCell="A1">
      <selection activeCell="B1" sqref="B1:D3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5" customWidth="1"/>
    <col min="7" max="7" width="14.28125" style="34" customWidth="1"/>
    <col min="8" max="16" width="9.140625" style="22" customWidth="1"/>
    <col min="17" max="16384" width="9.140625" style="1" customWidth="1"/>
  </cols>
  <sheetData>
    <row r="1" spans="2:4" ht="22.5" customHeight="1">
      <c r="B1" s="111" t="s">
        <v>125</v>
      </c>
      <c r="C1" s="111"/>
      <c r="D1" s="111"/>
    </row>
    <row r="2" spans="2:4" ht="12.75" customHeight="1">
      <c r="B2" s="111"/>
      <c r="C2" s="111"/>
      <c r="D2" s="111"/>
    </row>
    <row r="3" spans="2:8" ht="12.75" customHeight="1">
      <c r="B3" s="111"/>
      <c r="C3" s="111"/>
      <c r="D3" s="111"/>
      <c r="F3" s="127"/>
      <c r="G3" s="128"/>
      <c r="H3" s="129"/>
    </row>
    <row r="4" spans="6:8" ht="12.75">
      <c r="F4" s="127"/>
      <c r="G4" s="128"/>
      <c r="H4" s="129"/>
    </row>
    <row r="5" spans="1:8" ht="31.5" customHeight="1">
      <c r="A5" s="112" t="s">
        <v>120</v>
      </c>
      <c r="B5" s="113"/>
      <c r="C5" s="113"/>
      <c r="D5" s="113"/>
      <c r="E5" s="113"/>
      <c r="F5" s="130"/>
      <c r="G5" s="128"/>
      <c r="H5" s="129"/>
    </row>
    <row r="6" spans="1:8" ht="13.5" thickBot="1">
      <c r="A6" s="6"/>
      <c r="B6" s="6"/>
      <c r="C6" s="6"/>
      <c r="D6" s="5"/>
      <c r="E6" s="28"/>
      <c r="F6" s="131"/>
      <c r="G6" s="128"/>
      <c r="H6" s="129"/>
    </row>
    <row r="7" spans="1:8" ht="38.25">
      <c r="A7" s="114" t="s">
        <v>0</v>
      </c>
      <c r="B7" s="116" t="s">
        <v>1</v>
      </c>
      <c r="C7" s="118" t="s">
        <v>28</v>
      </c>
      <c r="D7" s="119"/>
      <c r="E7" s="120"/>
      <c r="F7" s="132" t="s">
        <v>50</v>
      </c>
      <c r="G7" s="132" t="s">
        <v>99</v>
      </c>
      <c r="H7" s="132" t="s">
        <v>112</v>
      </c>
    </row>
    <row r="8" spans="1:8" ht="25.5">
      <c r="A8" s="115"/>
      <c r="B8" s="117"/>
      <c r="C8" s="24" t="s">
        <v>95</v>
      </c>
      <c r="D8" s="9" t="s">
        <v>96</v>
      </c>
      <c r="E8" s="29" t="s">
        <v>97</v>
      </c>
      <c r="F8" s="132"/>
      <c r="G8" s="132"/>
      <c r="H8" s="129"/>
    </row>
    <row r="9" spans="1:8" ht="12.75">
      <c r="A9" s="115"/>
      <c r="B9" s="117"/>
      <c r="C9" s="8" t="s">
        <v>2</v>
      </c>
      <c r="D9" s="10" t="s">
        <v>2</v>
      </c>
      <c r="E9" s="30" t="s">
        <v>2</v>
      </c>
      <c r="F9" s="133"/>
      <c r="G9" s="134"/>
      <c r="H9" s="129"/>
    </row>
    <row r="10" spans="1:8" ht="13.5" thickBot="1">
      <c r="A10" s="38">
        <v>1</v>
      </c>
      <c r="B10" s="39">
        <v>2</v>
      </c>
      <c r="C10" s="39">
        <v>3</v>
      </c>
      <c r="D10" s="40">
        <v>4</v>
      </c>
      <c r="E10" s="41">
        <v>5</v>
      </c>
      <c r="F10" s="135"/>
      <c r="G10" s="134"/>
      <c r="H10" s="129"/>
    </row>
    <row r="11" spans="1:8" ht="15" thickBot="1">
      <c r="A11" s="121" t="s">
        <v>40</v>
      </c>
      <c r="B11" s="122"/>
      <c r="C11" s="122"/>
      <c r="D11" s="122"/>
      <c r="E11" s="123"/>
      <c r="F11" s="135"/>
      <c r="G11" s="134"/>
      <c r="H11" s="129"/>
    </row>
    <row r="12" spans="1:8" ht="12.75">
      <c r="A12" s="55" t="s">
        <v>3</v>
      </c>
      <c r="B12" s="56" t="s">
        <v>94</v>
      </c>
      <c r="C12" s="62">
        <v>0</v>
      </c>
      <c r="D12" s="66">
        <f>ROUND(0.19*C12,2)</f>
        <v>0</v>
      </c>
      <c r="E12" s="67">
        <f>D12+C12</f>
        <v>0</v>
      </c>
      <c r="F12" s="136" t="s">
        <v>29</v>
      </c>
      <c r="G12" s="134" t="s">
        <v>100</v>
      </c>
      <c r="H12" s="134" t="s">
        <v>100</v>
      </c>
    </row>
    <row r="13" spans="1:16" s="19" customFormat="1" ht="12.75">
      <c r="A13" s="32" t="s">
        <v>4</v>
      </c>
      <c r="B13" s="42" t="s">
        <v>93</v>
      </c>
      <c r="C13" s="63">
        <v>0</v>
      </c>
      <c r="D13" s="68">
        <f>ROUND(0.19*C13,2)</f>
        <v>0</v>
      </c>
      <c r="E13" s="69">
        <f>D13+C13</f>
        <v>0</v>
      </c>
      <c r="F13" s="136" t="s">
        <v>30</v>
      </c>
      <c r="G13" s="134" t="s">
        <v>105</v>
      </c>
      <c r="H13" s="134" t="s">
        <v>105</v>
      </c>
      <c r="I13" s="22"/>
      <c r="J13" s="22"/>
      <c r="K13" s="22"/>
      <c r="L13" s="22"/>
      <c r="M13" s="22"/>
      <c r="N13" s="22"/>
      <c r="O13" s="22"/>
      <c r="P13" s="22"/>
    </row>
    <row r="14" spans="1:8" ht="25.5">
      <c r="A14" s="32" t="s">
        <v>5</v>
      </c>
      <c r="B14" s="23" t="s">
        <v>41</v>
      </c>
      <c r="C14" s="64">
        <v>0</v>
      </c>
      <c r="D14" s="68">
        <f>ROUND(0.19*C14,2)</f>
        <v>0</v>
      </c>
      <c r="E14" s="69">
        <f>D14+C14</f>
        <v>0</v>
      </c>
      <c r="F14" s="136" t="s">
        <v>29</v>
      </c>
      <c r="G14" s="134" t="s">
        <v>105</v>
      </c>
      <c r="H14" s="134" t="s">
        <v>105</v>
      </c>
    </row>
    <row r="15" spans="1:16" s="19" customFormat="1" ht="12.75">
      <c r="A15" s="33" t="s">
        <v>51</v>
      </c>
      <c r="B15" s="23" t="s">
        <v>52</v>
      </c>
      <c r="C15" s="63">
        <v>0</v>
      </c>
      <c r="D15" s="68">
        <f>ROUND(0.19*C15,2)</f>
        <v>0</v>
      </c>
      <c r="E15" s="69">
        <f>D15+C15</f>
        <v>0</v>
      </c>
      <c r="F15" s="136" t="s">
        <v>30</v>
      </c>
      <c r="G15" s="134" t="s">
        <v>105</v>
      </c>
      <c r="H15" s="134" t="s">
        <v>105</v>
      </c>
      <c r="I15" s="22"/>
      <c r="J15" s="22"/>
      <c r="K15" s="22"/>
      <c r="L15" s="22"/>
      <c r="M15" s="22"/>
      <c r="N15" s="22"/>
      <c r="O15" s="22"/>
      <c r="P15" s="22"/>
    </row>
    <row r="16" spans="1:8" ht="15.75" thickBot="1">
      <c r="A16" s="53"/>
      <c r="B16" s="54" t="s">
        <v>38</v>
      </c>
      <c r="C16" s="65">
        <f>_xlfn.SUMIFS(C12:C15,$F$12:$F$15,"&lt;&gt;")</f>
        <v>0</v>
      </c>
      <c r="D16" s="65">
        <f>_xlfn.SUMIFS(D12:D15,$F$12:$F$15,"&lt;&gt;0")</f>
        <v>0</v>
      </c>
      <c r="E16" s="65">
        <f>_xlfn.SUMIFS(E12:E15,$F$12:$F$15,"&lt;&gt;")</f>
        <v>0</v>
      </c>
      <c r="F16" s="136"/>
      <c r="G16" s="134"/>
      <c r="H16" s="129"/>
    </row>
    <row r="17" spans="1:8" ht="14.25">
      <c r="A17" s="121" t="s">
        <v>42</v>
      </c>
      <c r="B17" s="122"/>
      <c r="C17" s="122"/>
      <c r="D17" s="122"/>
      <c r="E17" s="123"/>
      <c r="F17" s="136"/>
      <c r="G17" s="134"/>
      <c r="H17" s="129"/>
    </row>
    <row r="18" spans="1:8" ht="25.5">
      <c r="A18" s="32">
        <v>2</v>
      </c>
      <c r="B18" s="23" t="s">
        <v>53</v>
      </c>
      <c r="C18" s="64">
        <v>0</v>
      </c>
      <c r="D18" s="68">
        <f>ROUND(0.19*C18,2)</f>
        <v>0</v>
      </c>
      <c r="E18" s="69">
        <f>D18+C18</f>
        <v>0</v>
      </c>
      <c r="F18" s="136" t="s">
        <v>30</v>
      </c>
      <c r="G18" s="135" t="s">
        <v>105</v>
      </c>
      <c r="H18" s="135" t="s">
        <v>105</v>
      </c>
    </row>
    <row r="19" spans="1:8" ht="15" thickBot="1">
      <c r="A19" s="47"/>
      <c r="B19" s="57" t="s">
        <v>39</v>
      </c>
      <c r="C19" s="65">
        <f>_xlfn.SUMIFS(C18,$F$18,"&lt;&gt;")</f>
        <v>0</v>
      </c>
      <c r="D19" s="65">
        <f>_xlfn.SUMIFS(D18,$F$18,"&lt;&gt;")</f>
        <v>0</v>
      </c>
      <c r="E19" s="70">
        <f>_xlfn.SUMIFS(E18,$F$18,"&lt;&gt;")</f>
        <v>0</v>
      </c>
      <c r="F19" s="136"/>
      <c r="G19" s="134"/>
      <c r="H19" s="129"/>
    </row>
    <row r="20" spans="1:8" ht="15" thickBot="1">
      <c r="A20" s="121" t="s">
        <v>43</v>
      </c>
      <c r="B20" s="122"/>
      <c r="C20" s="122"/>
      <c r="D20" s="122"/>
      <c r="E20" s="123"/>
      <c r="F20" s="136"/>
      <c r="G20" s="134"/>
      <c r="H20" s="129"/>
    </row>
    <row r="21" spans="1:8" ht="12.75">
      <c r="A21" s="55" t="s">
        <v>6</v>
      </c>
      <c r="B21" s="61" t="s">
        <v>54</v>
      </c>
      <c r="C21" s="62">
        <v>0</v>
      </c>
      <c r="D21" s="74">
        <f aca="true" t="shared" si="0" ref="D21:D34">ROUND(0.19*C21,2)</f>
        <v>0</v>
      </c>
      <c r="E21" s="75">
        <f aca="true" t="shared" si="1" ref="E21:E34">D21+C21</f>
        <v>0</v>
      </c>
      <c r="F21" s="136" t="s">
        <v>29</v>
      </c>
      <c r="G21" s="134" t="s">
        <v>105</v>
      </c>
      <c r="H21" s="134" t="s">
        <v>100</v>
      </c>
    </row>
    <row r="22" spans="1:8" ht="25.5">
      <c r="A22" s="32" t="s">
        <v>7</v>
      </c>
      <c r="B22" s="23" t="s">
        <v>55</v>
      </c>
      <c r="C22" s="64">
        <v>0</v>
      </c>
      <c r="D22" s="72">
        <f t="shared" si="0"/>
        <v>0</v>
      </c>
      <c r="E22" s="73">
        <f t="shared" si="1"/>
        <v>0</v>
      </c>
      <c r="F22" s="136" t="s">
        <v>29</v>
      </c>
      <c r="G22" s="134" t="s">
        <v>105</v>
      </c>
      <c r="H22" s="134" t="s">
        <v>100</v>
      </c>
    </row>
    <row r="23" spans="1:8" ht="12.75">
      <c r="A23" s="33" t="s">
        <v>8</v>
      </c>
      <c r="B23" s="23" t="s">
        <v>56</v>
      </c>
      <c r="C23" s="64">
        <v>0</v>
      </c>
      <c r="D23" s="72">
        <f t="shared" si="0"/>
        <v>0</v>
      </c>
      <c r="E23" s="73">
        <f t="shared" si="1"/>
        <v>0</v>
      </c>
      <c r="F23" s="136" t="s">
        <v>29</v>
      </c>
      <c r="G23" s="134" t="s">
        <v>105</v>
      </c>
      <c r="H23" s="134" t="s">
        <v>100</v>
      </c>
    </row>
    <row r="24" spans="1:8" ht="25.5">
      <c r="A24" s="33" t="s">
        <v>9</v>
      </c>
      <c r="B24" s="23" t="s">
        <v>57</v>
      </c>
      <c r="C24" s="64">
        <v>0</v>
      </c>
      <c r="D24" s="72">
        <f t="shared" si="0"/>
        <v>0</v>
      </c>
      <c r="E24" s="73">
        <f t="shared" si="1"/>
        <v>0</v>
      </c>
      <c r="F24" s="136" t="s">
        <v>29</v>
      </c>
      <c r="G24" s="134" t="s">
        <v>105</v>
      </c>
      <c r="H24" s="134" t="s">
        <v>100</v>
      </c>
    </row>
    <row r="25" spans="1:8" ht="12.75">
      <c r="A25" s="33" t="s">
        <v>10</v>
      </c>
      <c r="B25" s="43" t="s">
        <v>58</v>
      </c>
      <c r="C25" s="72">
        <v>0</v>
      </c>
      <c r="D25" s="72">
        <f>SUM(D26:D31)</f>
        <v>0</v>
      </c>
      <c r="E25" s="73">
        <f>SUM(E26:E31)</f>
        <v>0</v>
      </c>
      <c r="F25" s="136"/>
      <c r="G25" s="134"/>
      <c r="H25" s="134"/>
    </row>
    <row r="26" spans="1:8" ht="12.75">
      <c r="A26" s="58" t="s">
        <v>59</v>
      </c>
      <c r="B26" s="59" t="s">
        <v>60</v>
      </c>
      <c r="C26" s="71">
        <v>0</v>
      </c>
      <c r="D26" s="76">
        <f t="shared" si="0"/>
        <v>0</v>
      </c>
      <c r="E26" s="77">
        <f t="shared" si="1"/>
        <v>0</v>
      </c>
      <c r="F26" s="136" t="s">
        <v>29</v>
      </c>
      <c r="G26" s="134" t="s">
        <v>105</v>
      </c>
      <c r="H26" s="134" t="s">
        <v>100</v>
      </c>
    </row>
    <row r="27" spans="1:8" ht="12.75">
      <c r="A27" s="58" t="s">
        <v>61</v>
      </c>
      <c r="B27" s="59" t="s">
        <v>62</v>
      </c>
      <c r="C27" s="71">
        <v>0</v>
      </c>
      <c r="D27" s="76">
        <f t="shared" si="0"/>
        <v>0</v>
      </c>
      <c r="E27" s="77">
        <f t="shared" si="1"/>
        <v>0</v>
      </c>
      <c r="F27" s="136" t="s">
        <v>29</v>
      </c>
      <c r="G27" s="134" t="s">
        <v>105</v>
      </c>
      <c r="H27" s="134" t="s">
        <v>100</v>
      </c>
    </row>
    <row r="28" spans="1:8" ht="24">
      <c r="A28" s="58" t="s">
        <v>63</v>
      </c>
      <c r="B28" s="60" t="s">
        <v>64</v>
      </c>
      <c r="C28" s="71">
        <v>0</v>
      </c>
      <c r="D28" s="76">
        <f t="shared" si="0"/>
        <v>0</v>
      </c>
      <c r="E28" s="77">
        <f t="shared" si="1"/>
        <v>0</v>
      </c>
      <c r="F28" s="136" t="s">
        <v>29</v>
      </c>
      <c r="G28" s="134" t="s">
        <v>105</v>
      </c>
      <c r="H28" s="134" t="s">
        <v>100</v>
      </c>
    </row>
    <row r="29" spans="1:8" ht="24">
      <c r="A29" s="58" t="s">
        <v>65</v>
      </c>
      <c r="B29" s="60" t="s">
        <v>66</v>
      </c>
      <c r="C29" s="71">
        <v>0</v>
      </c>
      <c r="D29" s="78">
        <f t="shared" si="0"/>
        <v>0</v>
      </c>
      <c r="E29" s="79">
        <f t="shared" si="1"/>
        <v>0</v>
      </c>
      <c r="F29" s="136" t="s">
        <v>30</v>
      </c>
      <c r="G29" s="134" t="s">
        <v>105</v>
      </c>
      <c r="H29" s="134" t="s">
        <v>100</v>
      </c>
    </row>
    <row r="30" spans="1:8" ht="24">
      <c r="A30" s="58" t="s">
        <v>67</v>
      </c>
      <c r="B30" s="60" t="s">
        <v>104</v>
      </c>
      <c r="C30" s="71">
        <v>0</v>
      </c>
      <c r="D30" s="78">
        <f t="shared" si="0"/>
        <v>0</v>
      </c>
      <c r="E30" s="79">
        <f t="shared" si="1"/>
        <v>0</v>
      </c>
      <c r="F30" s="136" t="s">
        <v>30</v>
      </c>
      <c r="G30" s="134" t="s">
        <v>105</v>
      </c>
      <c r="H30" s="134" t="s">
        <v>100</v>
      </c>
    </row>
    <row r="31" spans="1:8" ht="12.75">
      <c r="A31" s="58" t="s">
        <v>68</v>
      </c>
      <c r="B31" s="60" t="s">
        <v>69</v>
      </c>
      <c r="C31" s="71">
        <v>0</v>
      </c>
      <c r="D31" s="78">
        <f t="shared" si="0"/>
        <v>0</v>
      </c>
      <c r="E31" s="79">
        <f t="shared" si="1"/>
        <v>0</v>
      </c>
      <c r="F31" s="136" t="s">
        <v>30</v>
      </c>
      <c r="G31" s="134" t="s">
        <v>105</v>
      </c>
      <c r="H31" s="134" t="s">
        <v>100</v>
      </c>
    </row>
    <row r="32" spans="1:16" s="20" customFormat="1" ht="12.75">
      <c r="A32" s="33" t="s">
        <v>12</v>
      </c>
      <c r="B32" s="23" t="s">
        <v>44</v>
      </c>
      <c r="C32" s="71">
        <v>0</v>
      </c>
      <c r="D32" s="72">
        <f t="shared" si="0"/>
        <v>0</v>
      </c>
      <c r="E32" s="73">
        <f t="shared" si="1"/>
        <v>0</v>
      </c>
      <c r="F32" s="137" t="s">
        <v>29</v>
      </c>
      <c r="G32" s="134" t="s">
        <v>105</v>
      </c>
      <c r="H32" s="134" t="s">
        <v>100</v>
      </c>
      <c r="I32" s="26"/>
      <c r="J32" s="26"/>
      <c r="K32" s="26"/>
      <c r="L32" s="26"/>
      <c r="M32" s="26"/>
      <c r="N32" s="26"/>
      <c r="O32" s="26"/>
      <c r="P32" s="26"/>
    </row>
    <row r="33" spans="1:16" s="20" customFormat="1" ht="12.75">
      <c r="A33" s="33" t="s">
        <v>70</v>
      </c>
      <c r="B33" s="23" t="s">
        <v>11</v>
      </c>
      <c r="C33" s="71">
        <v>0</v>
      </c>
      <c r="D33" s="72">
        <f t="shared" si="0"/>
        <v>0</v>
      </c>
      <c r="E33" s="73">
        <f t="shared" si="1"/>
        <v>0</v>
      </c>
      <c r="F33" s="137" t="s">
        <v>29</v>
      </c>
      <c r="G33" s="134" t="s">
        <v>105</v>
      </c>
      <c r="H33" s="134" t="s">
        <v>100</v>
      </c>
      <c r="I33" s="26"/>
      <c r="J33" s="26"/>
      <c r="K33" s="26"/>
      <c r="L33" s="26"/>
      <c r="M33" s="26"/>
      <c r="N33" s="26"/>
      <c r="O33" s="26"/>
      <c r="P33" s="26"/>
    </row>
    <row r="34" spans="1:8" ht="12.75">
      <c r="A34" s="51" t="s">
        <v>71</v>
      </c>
      <c r="B34" s="52" t="s">
        <v>13</v>
      </c>
      <c r="C34" s="71">
        <v>0</v>
      </c>
      <c r="D34" s="80">
        <f t="shared" si="0"/>
        <v>0</v>
      </c>
      <c r="E34" s="81">
        <f t="shared" si="1"/>
        <v>0</v>
      </c>
      <c r="F34" s="137" t="s">
        <v>29</v>
      </c>
      <c r="G34" s="134" t="s">
        <v>105</v>
      </c>
      <c r="H34" s="134" t="s">
        <v>100</v>
      </c>
    </row>
    <row r="35" spans="1:8" ht="15.75" thickBot="1">
      <c r="A35" s="53"/>
      <c r="B35" s="54" t="s">
        <v>35</v>
      </c>
      <c r="C35" s="82">
        <f>_xlfn.SUMIFS(C21:C34,$F$21:$F$34,"&lt;&gt;")</f>
        <v>0</v>
      </c>
      <c r="D35" s="82">
        <f>_xlfn.SUMIFS(D21:D34,$F$21:$F$34,"&lt;&gt;")</f>
        <v>0</v>
      </c>
      <c r="E35" s="83">
        <f>_xlfn.SUMIFS(E21:E34,$F$21:$F$34,"&lt;&gt;")</f>
        <v>0</v>
      </c>
      <c r="F35" s="136"/>
      <c r="G35" s="134"/>
      <c r="H35" s="129"/>
    </row>
    <row r="36" spans="1:8" ht="14.25">
      <c r="A36" s="124" t="s">
        <v>45</v>
      </c>
      <c r="B36" s="125"/>
      <c r="C36" s="125"/>
      <c r="D36" s="125"/>
      <c r="E36" s="126"/>
      <c r="F36" s="136"/>
      <c r="G36" s="134"/>
      <c r="H36" s="129"/>
    </row>
    <row r="37" spans="1:8" ht="12.75">
      <c r="A37" s="32" t="s">
        <v>14</v>
      </c>
      <c r="B37" s="23" t="s">
        <v>101</v>
      </c>
      <c r="C37" s="72">
        <f>C38+C39</f>
        <v>6229481.74</v>
      </c>
      <c r="D37" s="72">
        <f>D38+D39</f>
        <v>1183601.53</v>
      </c>
      <c r="E37" s="73">
        <f>E38+E39</f>
        <v>7413083.27</v>
      </c>
      <c r="F37" s="136"/>
      <c r="G37" s="134"/>
      <c r="H37" s="129"/>
    </row>
    <row r="38" spans="1:8" ht="12.75">
      <c r="A38" s="46" t="str">
        <f>A37&amp;".1"</f>
        <v>4.1.1</v>
      </c>
      <c r="B38" s="45" t="s">
        <v>102</v>
      </c>
      <c r="C38" s="71">
        <v>3306572.34</v>
      </c>
      <c r="D38" s="76">
        <f>ROUND(0.19*C38,2)</f>
        <v>628248.74</v>
      </c>
      <c r="E38" s="77">
        <f>D38+C38</f>
        <v>3934821.08</v>
      </c>
      <c r="F38" s="136" t="s">
        <v>30</v>
      </c>
      <c r="G38" s="134" t="s">
        <v>105</v>
      </c>
      <c r="H38" s="134" t="s">
        <v>105</v>
      </c>
    </row>
    <row r="39" spans="1:8" ht="12.75">
      <c r="A39" s="46" t="str">
        <f>A37&amp;".2"</f>
        <v>4.1.2</v>
      </c>
      <c r="B39" s="11" t="s">
        <v>103</v>
      </c>
      <c r="C39" s="71">
        <v>2922909.4</v>
      </c>
      <c r="D39" s="76">
        <f>ROUND(0.19*C39,2)</f>
        <v>555352.79</v>
      </c>
      <c r="E39" s="77">
        <f>D39+C39</f>
        <v>3478262.19</v>
      </c>
      <c r="F39" s="136" t="s">
        <v>30</v>
      </c>
      <c r="G39" s="134" t="s">
        <v>100</v>
      </c>
      <c r="H39" s="134" t="s">
        <v>105</v>
      </c>
    </row>
    <row r="40" spans="1:8" ht="12.75">
      <c r="A40" s="32" t="s">
        <v>15</v>
      </c>
      <c r="B40" s="23" t="s">
        <v>72</v>
      </c>
      <c r="C40" s="72">
        <f>C41+C42</f>
        <v>0</v>
      </c>
      <c r="D40" s="72">
        <f>D41+D42</f>
        <v>0</v>
      </c>
      <c r="E40" s="73">
        <f>E41+E42</f>
        <v>0</v>
      </c>
      <c r="F40" s="136"/>
      <c r="G40" s="134"/>
      <c r="H40" s="134"/>
    </row>
    <row r="41" spans="1:8" ht="12.75">
      <c r="A41" s="46" t="str">
        <f>A40&amp;".1"</f>
        <v>4.2.1</v>
      </c>
      <c r="B41" s="45" t="s">
        <v>102</v>
      </c>
      <c r="C41" s="71">
        <v>0</v>
      </c>
      <c r="D41" s="76">
        <f>ROUND(0.19*C41,2)</f>
        <v>0</v>
      </c>
      <c r="E41" s="77">
        <f>D41+C41</f>
        <v>0</v>
      </c>
      <c r="F41" s="136" t="s">
        <v>30</v>
      </c>
      <c r="G41" s="134" t="s">
        <v>105</v>
      </c>
      <c r="H41" s="134" t="s">
        <v>105</v>
      </c>
    </row>
    <row r="42" spans="1:8" ht="12.75">
      <c r="A42" s="46" t="str">
        <f>A40&amp;".2"</f>
        <v>4.2.2</v>
      </c>
      <c r="B42" s="11" t="s">
        <v>103</v>
      </c>
      <c r="C42" s="71">
        <v>0</v>
      </c>
      <c r="D42" s="76">
        <f>ROUND(0.19*C42,2)</f>
        <v>0</v>
      </c>
      <c r="E42" s="77">
        <f>D42+C42</f>
        <v>0</v>
      </c>
      <c r="F42" s="136" t="s">
        <v>30</v>
      </c>
      <c r="G42" s="134" t="s">
        <v>100</v>
      </c>
      <c r="H42" s="134" t="s">
        <v>105</v>
      </c>
    </row>
    <row r="43" spans="1:8" ht="25.5">
      <c r="A43" s="32" t="s">
        <v>16</v>
      </c>
      <c r="B43" s="23" t="s">
        <v>73</v>
      </c>
      <c r="C43" s="72">
        <f>C44+C45</f>
        <v>345250</v>
      </c>
      <c r="D43" s="72">
        <f>D44+D45</f>
        <v>65597.5</v>
      </c>
      <c r="E43" s="73">
        <f>E44+E45</f>
        <v>410847.5</v>
      </c>
      <c r="F43" s="136"/>
      <c r="G43" s="134"/>
      <c r="H43" s="134"/>
    </row>
    <row r="44" spans="1:8" ht="12.75">
      <c r="A44" s="46" t="str">
        <f>A43&amp;".1"</f>
        <v>4.3.1</v>
      </c>
      <c r="B44" s="45" t="s">
        <v>102</v>
      </c>
      <c r="C44" s="71">
        <v>0</v>
      </c>
      <c r="D44" s="76">
        <f>ROUND(0.19*C44,2)</f>
        <v>0</v>
      </c>
      <c r="E44" s="77">
        <f>D44+C44</f>
        <v>0</v>
      </c>
      <c r="F44" s="136" t="s">
        <v>30</v>
      </c>
      <c r="G44" s="134" t="s">
        <v>105</v>
      </c>
      <c r="H44" s="134" t="s">
        <v>100</v>
      </c>
    </row>
    <row r="45" spans="1:8" ht="12.75">
      <c r="A45" s="46" t="str">
        <f>A43&amp;".2"</f>
        <v>4.3.2</v>
      </c>
      <c r="B45" s="11" t="s">
        <v>103</v>
      </c>
      <c r="C45" s="71">
        <v>345250</v>
      </c>
      <c r="D45" s="76">
        <f>ROUND(0.19*C45,2)</f>
        <v>65597.5</v>
      </c>
      <c r="E45" s="77">
        <f>D45+C45</f>
        <v>410847.5</v>
      </c>
      <c r="F45" s="136" t="s">
        <v>30</v>
      </c>
      <c r="G45" s="134" t="s">
        <v>100</v>
      </c>
      <c r="H45" s="134" t="s">
        <v>100</v>
      </c>
    </row>
    <row r="46" spans="1:16" s="25" customFormat="1" ht="25.5">
      <c r="A46" s="32" t="s">
        <v>17</v>
      </c>
      <c r="B46" s="23" t="s">
        <v>74</v>
      </c>
      <c r="C46" s="72">
        <f>C47+C48</f>
        <v>0</v>
      </c>
      <c r="D46" s="72">
        <f>D47+D48</f>
        <v>0</v>
      </c>
      <c r="E46" s="73">
        <f>E47+E48</f>
        <v>0</v>
      </c>
      <c r="F46" s="135"/>
      <c r="G46" s="134"/>
      <c r="H46" s="134"/>
      <c r="I46" s="27"/>
      <c r="J46" s="27"/>
      <c r="K46" s="27"/>
      <c r="L46" s="27"/>
      <c r="M46" s="27"/>
      <c r="N46" s="27"/>
      <c r="O46" s="27"/>
      <c r="P46" s="27"/>
    </row>
    <row r="47" spans="1:8" ht="12.75">
      <c r="A47" s="46" t="str">
        <f>A46&amp;".1"</f>
        <v>4.4.1</v>
      </c>
      <c r="B47" s="45" t="s">
        <v>102</v>
      </c>
      <c r="C47" s="71">
        <v>0</v>
      </c>
      <c r="D47" s="76">
        <f>ROUND(0.19*C47,2)</f>
        <v>0</v>
      </c>
      <c r="E47" s="77">
        <f>D47+C47</f>
        <v>0</v>
      </c>
      <c r="F47" s="136" t="s">
        <v>30</v>
      </c>
      <c r="G47" s="134" t="s">
        <v>105</v>
      </c>
      <c r="H47" s="134" t="s">
        <v>100</v>
      </c>
    </row>
    <row r="48" spans="1:8" ht="12.75">
      <c r="A48" s="46" t="str">
        <f>A46&amp;".2"</f>
        <v>4.4.2</v>
      </c>
      <c r="B48" s="11" t="s">
        <v>103</v>
      </c>
      <c r="C48" s="71">
        <v>0</v>
      </c>
      <c r="D48" s="76">
        <f>ROUND(0.19*C48,2)</f>
        <v>0</v>
      </c>
      <c r="E48" s="77">
        <f>D48+C48</f>
        <v>0</v>
      </c>
      <c r="F48" s="136" t="s">
        <v>30</v>
      </c>
      <c r="G48" s="134" t="s">
        <v>100</v>
      </c>
      <c r="H48" s="134" t="s">
        <v>100</v>
      </c>
    </row>
    <row r="49" spans="1:8" ht="12.75">
      <c r="A49" s="32" t="s">
        <v>18</v>
      </c>
      <c r="B49" s="23" t="s">
        <v>46</v>
      </c>
      <c r="C49" s="72">
        <f>C50+C51</f>
        <v>0</v>
      </c>
      <c r="D49" s="72">
        <f>D50+D51</f>
        <v>0</v>
      </c>
      <c r="E49" s="73">
        <f>E50+E51</f>
        <v>0</v>
      </c>
      <c r="F49" s="136"/>
      <c r="G49" s="134"/>
      <c r="H49" s="134"/>
    </row>
    <row r="50" spans="1:8" ht="12.75">
      <c r="A50" s="46" t="str">
        <f>A49&amp;".1"</f>
        <v>4.5.1</v>
      </c>
      <c r="B50" s="45" t="s">
        <v>102</v>
      </c>
      <c r="C50" s="71">
        <v>0</v>
      </c>
      <c r="D50" s="76">
        <f>ROUND(0.19*C50,2)</f>
        <v>0</v>
      </c>
      <c r="E50" s="77">
        <f>D50+C50</f>
        <v>0</v>
      </c>
      <c r="F50" s="136" t="s">
        <v>30</v>
      </c>
      <c r="G50" s="134" t="s">
        <v>105</v>
      </c>
      <c r="H50" s="134" t="s">
        <v>100</v>
      </c>
    </row>
    <row r="51" spans="1:8" ht="12.75">
      <c r="A51" s="46" t="str">
        <f>A49&amp;".2"</f>
        <v>4.5.2</v>
      </c>
      <c r="B51" s="11" t="s">
        <v>103</v>
      </c>
      <c r="C51" s="71">
        <v>0</v>
      </c>
      <c r="D51" s="76">
        <f>ROUND(0.19*C51,2)</f>
        <v>0</v>
      </c>
      <c r="E51" s="77">
        <f>D51+C51</f>
        <v>0</v>
      </c>
      <c r="F51" s="136" t="s">
        <v>30</v>
      </c>
      <c r="G51" s="134" t="s">
        <v>100</v>
      </c>
      <c r="H51" s="134" t="s">
        <v>100</v>
      </c>
    </row>
    <row r="52" spans="1:8" ht="12.75">
      <c r="A52" s="32" t="s">
        <v>26</v>
      </c>
      <c r="B52" s="23" t="s">
        <v>27</v>
      </c>
      <c r="C52" s="72">
        <f>C53+C54</f>
        <v>0</v>
      </c>
      <c r="D52" s="72">
        <f>D53+D54</f>
        <v>0</v>
      </c>
      <c r="E52" s="73">
        <f>E53+E54</f>
        <v>0</v>
      </c>
      <c r="F52" s="136"/>
      <c r="G52" s="134"/>
      <c r="H52" s="134"/>
    </row>
    <row r="53" spans="1:8" ht="12.75">
      <c r="A53" s="46" t="str">
        <f>A52&amp;".1"</f>
        <v>4.6.1</v>
      </c>
      <c r="B53" s="45" t="s">
        <v>102</v>
      </c>
      <c r="C53" s="71">
        <v>0</v>
      </c>
      <c r="D53" s="76">
        <f>ROUND(0.19*C53,2)</f>
        <v>0</v>
      </c>
      <c r="E53" s="77">
        <f>D53+C53</f>
        <v>0</v>
      </c>
      <c r="F53" s="136" t="s">
        <v>30</v>
      </c>
      <c r="G53" s="134" t="s">
        <v>105</v>
      </c>
      <c r="H53" s="134" t="s">
        <v>100</v>
      </c>
    </row>
    <row r="54" spans="1:8" ht="12.75">
      <c r="A54" s="46" t="str">
        <f>A52&amp;".2"</f>
        <v>4.6.2</v>
      </c>
      <c r="B54" s="11" t="s">
        <v>103</v>
      </c>
      <c r="C54" s="71">
        <v>0</v>
      </c>
      <c r="D54" s="76">
        <f>ROUND(0.19*C54,2)</f>
        <v>0</v>
      </c>
      <c r="E54" s="77">
        <f>D54+C54</f>
        <v>0</v>
      </c>
      <c r="F54" s="136" t="s">
        <v>30</v>
      </c>
      <c r="G54" s="134" t="s">
        <v>100</v>
      </c>
      <c r="H54" s="134" t="s">
        <v>100</v>
      </c>
    </row>
    <row r="55" spans="1:8" ht="15" thickBot="1">
      <c r="A55" s="47"/>
      <c r="B55" s="54" t="s">
        <v>34</v>
      </c>
      <c r="C55" s="82">
        <f>_xlfn.SUMIFS(C37:C54,$F$37:$F$54,"&lt;&gt;")</f>
        <v>6574731.74</v>
      </c>
      <c r="D55" s="82">
        <f>_xlfn.SUMIFS(D37:D54,$F$37:$F$54,"&lt;&gt;")</f>
        <v>1249199.03</v>
      </c>
      <c r="E55" s="83">
        <f>_xlfn.SUMIFS(E37:E54,$F$37:$F$54,"&lt;&gt;")</f>
        <v>7823930.77</v>
      </c>
      <c r="F55" s="136"/>
      <c r="G55" s="134"/>
      <c r="H55" s="134"/>
    </row>
    <row r="56" spans="1:8" ht="14.25">
      <c r="A56" s="121" t="s">
        <v>19</v>
      </c>
      <c r="B56" s="122"/>
      <c r="C56" s="122"/>
      <c r="D56" s="122"/>
      <c r="E56" s="123"/>
      <c r="F56" s="136"/>
      <c r="G56" s="134"/>
      <c r="H56" s="134"/>
    </row>
    <row r="57" spans="1:8" ht="12.75">
      <c r="A57" s="32" t="s">
        <v>20</v>
      </c>
      <c r="B57" s="42" t="s">
        <v>89</v>
      </c>
      <c r="C57" s="72">
        <f>C58+C59</f>
        <v>0</v>
      </c>
      <c r="D57" s="72">
        <f>D58+D59</f>
        <v>0</v>
      </c>
      <c r="E57" s="73">
        <f>E58+E59</f>
        <v>0</v>
      </c>
      <c r="F57" s="136"/>
      <c r="G57" s="134"/>
      <c r="H57" s="134"/>
    </row>
    <row r="58" spans="1:8" ht="25.5">
      <c r="A58" s="44" t="s">
        <v>33</v>
      </c>
      <c r="B58" s="45" t="s">
        <v>75</v>
      </c>
      <c r="C58" s="71">
        <v>0</v>
      </c>
      <c r="D58" s="72">
        <f>ROUND(0.19*C58,2)</f>
        <v>0</v>
      </c>
      <c r="E58" s="73">
        <f>D58+C58</f>
        <v>0</v>
      </c>
      <c r="F58" s="136" t="s">
        <v>30</v>
      </c>
      <c r="G58" s="134" t="s">
        <v>105</v>
      </c>
      <c r="H58" s="134" t="s">
        <v>105</v>
      </c>
    </row>
    <row r="59" spans="1:8" ht="12.75">
      <c r="A59" s="44" t="s">
        <v>47</v>
      </c>
      <c r="B59" s="11" t="s">
        <v>76</v>
      </c>
      <c r="C59" s="71">
        <v>0</v>
      </c>
      <c r="D59" s="72">
        <f>ROUND(0.19*C59,2)</f>
        <v>0</v>
      </c>
      <c r="E59" s="73">
        <f>D59+C59</f>
        <v>0</v>
      </c>
      <c r="F59" s="136" t="s">
        <v>29</v>
      </c>
      <c r="G59" s="134" t="s">
        <v>105</v>
      </c>
      <c r="H59" s="134" t="s">
        <v>100</v>
      </c>
    </row>
    <row r="60" spans="1:8" ht="12.75">
      <c r="A60" s="32" t="s">
        <v>21</v>
      </c>
      <c r="B60" s="23" t="s">
        <v>48</v>
      </c>
      <c r="C60" s="72">
        <f>SUM(C61:C65)</f>
        <v>68524.3</v>
      </c>
      <c r="D60" s="72">
        <f>SUM(D61:D65)</f>
        <v>0</v>
      </c>
      <c r="E60" s="73">
        <f>SUM(E61:E65)</f>
        <v>68524.3</v>
      </c>
      <c r="F60" s="136"/>
      <c r="G60" s="134"/>
      <c r="H60" s="134"/>
    </row>
    <row r="61" spans="1:8" ht="25.5">
      <c r="A61" s="31" t="s">
        <v>77</v>
      </c>
      <c r="B61" s="21" t="s">
        <v>78</v>
      </c>
      <c r="C61" s="71">
        <v>0</v>
      </c>
      <c r="D61" s="72">
        <f>ROUND(0.19*C61,2)</f>
        <v>0</v>
      </c>
      <c r="E61" s="73">
        <f aca="true" t="shared" si="2" ref="E61:E67">D61+C61</f>
        <v>0</v>
      </c>
      <c r="F61" s="136" t="s">
        <v>29</v>
      </c>
      <c r="G61" s="134" t="s">
        <v>105</v>
      </c>
      <c r="H61" s="134" t="s">
        <v>100</v>
      </c>
    </row>
    <row r="62" spans="1:8" s="22" customFormat="1" ht="25.5">
      <c r="A62" s="31" t="s">
        <v>79</v>
      </c>
      <c r="B62" s="21" t="s">
        <v>80</v>
      </c>
      <c r="C62" s="71">
        <v>6229.48</v>
      </c>
      <c r="D62" s="72">
        <f>ROUND(0*C62,2)</f>
        <v>0</v>
      </c>
      <c r="E62" s="73">
        <f t="shared" si="2"/>
        <v>6229.48</v>
      </c>
      <c r="F62" s="136" t="s">
        <v>30</v>
      </c>
      <c r="G62" s="134" t="s">
        <v>105</v>
      </c>
      <c r="H62" s="134" t="s">
        <v>100</v>
      </c>
    </row>
    <row r="63" spans="1:8" s="22" customFormat="1" ht="38.25">
      <c r="A63" s="31" t="s">
        <v>81</v>
      </c>
      <c r="B63" s="21" t="s">
        <v>82</v>
      </c>
      <c r="C63" s="71">
        <v>31147.41</v>
      </c>
      <c r="D63" s="72">
        <f>ROUND(0*C63,2)</f>
        <v>0</v>
      </c>
      <c r="E63" s="73">
        <f t="shared" si="2"/>
        <v>31147.41</v>
      </c>
      <c r="F63" s="136" t="s">
        <v>30</v>
      </c>
      <c r="G63" s="135" t="s">
        <v>105</v>
      </c>
      <c r="H63" s="135" t="s">
        <v>100</v>
      </c>
    </row>
    <row r="64" spans="1:8" s="22" customFormat="1" ht="12.75">
      <c r="A64" s="31" t="s">
        <v>83</v>
      </c>
      <c r="B64" s="21" t="s">
        <v>84</v>
      </c>
      <c r="C64" s="71">
        <v>31147.41</v>
      </c>
      <c r="D64" s="72">
        <f>ROUND(0*C64,2)</f>
        <v>0</v>
      </c>
      <c r="E64" s="73">
        <f t="shared" si="2"/>
        <v>31147.41</v>
      </c>
      <c r="F64" s="136" t="s">
        <v>30</v>
      </c>
      <c r="G64" s="134" t="s">
        <v>105</v>
      </c>
      <c r="H64" s="134" t="s">
        <v>100</v>
      </c>
    </row>
    <row r="65" spans="1:8" ht="25.5">
      <c r="A65" s="31" t="s">
        <v>85</v>
      </c>
      <c r="B65" s="21" t="s">
        <v>86</v>
      </c>
      <c r="C65" s="71">
        <v>0</v>
      </c>
      <c r="D65" s="72">
        <f>ROUND(0.19*C65,2)</f>
        <v>0</v>
      </c>
      <c r="E65" s="73">
        <f t="shared" si="2"/>
        <v>0</v>
      </c>
      <c r="F65" s="136" t="s">
        <v>29</v>
      </c>
      <c r="G65" s="135" t="s">
        <v>105</v>
      </c>
      <c r="H65" s="135" t="s">
        <v>100</v>
      </c>
    </row>
    <row r="66" spans="1:8" ht="12.75">
      <c r="A66" s="32" t="s">
        <v>22</v>
      </c>
      <c r="B66" s="23" t="s">
        <v>31</v>
      </c>
      <c r="C66" s="71">
        <v>0</v>
      </c>
      <c r="D66" s="72">
        <f>ROUND(0.19*C66,2)</f>
        <v>0</v>
      </c>
      <c r="E66" s="73">
        <f t="shared" si="2"/>
        <v>0</v>
      </c>
      <c r="F66" s="136" t="s">
        <v>30</v>
      </c>
      <c r="G66" s="134" t="s">
        <v>105</v>
      </c>
      <c r="H66" s="134" t="s">
        <v>100</v>
      </c>
    </row>
    <row r="67" spans="1:8" ht="12.75">
      <c r="A67" s="33" t="s">
        <v>87</v>
      </c>
      <c r="B67" s="23" t="s">
        <v>88</v>
      </c>
      <c r="C67" s="71">
        <v>0</v>
      </c>
      <c r="D67" s="72">
        <f>ROUND(0.19*C67,2)</f>
        <v>0</v>
      </c>
      <c r="E67" s="73">
        <f t="shared" si="2"/>
        <v>0</v>
      </c>
      <c r="F67" s="136" t="s">
        <v>29</v>
      </c>
      <c r="G67" s="134" t="s">
        <v>105</v>
      </c>
      <c r="H67" s="134" t="s">
        <v>100</v>
      </c>
    </row>
    <row r="68" spans="1:8" ht="15" thickBot="1">
      <c r="A68" s="47"/>
      <c r="B68" s="57" t="s">
        <v>36</v>
      </c>
      <c r="C68" s="82">
        <f>_xlfn.SUMIFS(C57:C67,$F$57:$F$67,"&lt;&gt;")</f>
        <v>68524.3</v>
      </c>
      <c r="D68" s="82">
        <f>_xlfn.SUMIFS(D57:D67,$F$57:$F$67,"&lt;&gt;")</f>
        <v>0</v>
      </c>
      <c r="E68" s="83">
        <f>_xlfn.SUMIFS(E57:E67,$F$57:$F$67,"&lt;&gt;")</f>
        <v>68524.3</v>
      </c>
      <c r="F68" s="136"/>
      <c r="G68" s="134"/>
      <c r="H68" s="134"/>
    </row>
    <row r="69" spans="1:8" ht="14.25">
      <c r="A69" s="121" t="s">
        <v>90</v>
      </c>
      <c r="B69" s="122"/>
      <c r="C69" s="122"/>
      <c r="D69" s="122"/>
      <c r="E69" s="123"/>
      <c r="F69" s="136"/>
      <c r="G69" s="134"/>
      <c r="H69" s="134"/>
    </row>
    <row r="70" spans="1:8" ht="12.75">
      <c r="A70" s="32" t="s">
        <v>23</v>
      </c>
      <c r="B70" s="23" t="s">
        <v>91</v>
      </c>
      <c r="C70" s="71">
        <v>0</v>
      </c>
      <c r="D70" s="72">
        <f>0.19*C70</f>
        <v>0</v>
      </c>
      <c r="E70" s="73">
        <f>C70*1.19</f>
        <v>0</v>
      </c>
      <c r="F70" s="136" t="s">
        <v>29</v>
      </c>
      <c r="G70" s="134" t="s">
        <v>105</v>
      </c>
      <c r="H70" s="134" t="s">
        <v>100</v>
      </c>
    </row>
    <row r="71" spans="1:8" ht="12.75">
      <c r="A71" s="32" t="s">
        <v>24</v>
      </c>
      <c r="B71" s="23" t="s">
        <v>49</v>
      </c>
      <c r="C71" s="71">
        <v>0</v>
      </c>
      <c r="D71" s="72">
        <f>ROUND(0.19*C71,2)</f>
        <v>0</v>
      </c>
      <c r="E71" s="73">
        <f>D71+C71</f>
        <v>0</v>
      </c>
      <c r="F71" s="136" t="s">
        <v>30</v>
      </c>
      <c r="G71" s="134" t="s">
        <v>105</v>
      </c>
      <c r="H71" s="134" t="s">
        <v>100</v>
      </c>
    </row>
    <row r="72" spans="1:7" ht="15" thickBot="1">
      <c r="A72" s="47"/>
      <c r="B72" s="54" t="s">
        <v>37</v>
      </c>
      <c r="C72" s="82">
        <f>_xlfn.SUMIFS(C70:C71,$F$70:$F$71,"&lt;&gt;")</f>
        <v>0</v>
      </c>
      <c r="D72" s="82">
        <f>_xlfn.SUMIFS(D70:D71,$F$70:$F$71,"&lt;&gt;")</f>
        <v>0</v>
      </c>
      <c r="E72" s="83">
        <f>_xlfn.SUMIFS(E70:E71,$F$70:$F$71,"&lt;&gt;")</f>
        <v>0</v>
      </c>
      <c r="F72" s="37"/>
      <c r="G72" s="36"/>
    </row>
    <row r="73" spans="1:7" ht="16.5" thickBot="1">
      <c r="A73" s="84"/>
      <c r="B73" s="85" t="s">
        <v>32</v>
      </c>
      <c r="C73" s="99">
        <f>_xlfn.SUMIFS(C12:C72,$F$12:$F$72,"&lt;&gt;")</f>
        <v>6643256.040000001</v>
      </c>
      <c r="D73" s="99">
        <f>_xlfn.SUMIFS(D12:D72,$F$12:$F$72,"&lt;&gt;")</f>
        <v>1249199.03</v>
      </c>
      <c r="E73" s="100">
        <f>_xlfn.SUMIFS(E12:E72,$F$12:$F$72,"&lt;&gt;")</f>
        <v>7892455.07</v>
      </c>
      <c r="F73" s="37"/>
      <c r="G73" s="36"/>
    </row>
    <row r="74" spans="1:7" ht="29.25" thickBot="1">
      <c r="A74" s="86"/>
      <c r="B74" s="87" t="s">
        <v>92</v>
      </c>
      <c r="C74" s="99">
        <f>_xlfn.SUMIFS(C12:C72,$H$12:$H$72,"da")</f>
        <v>6229481.74</v>
      </c>
      <c r="D74" s="99">
        <f>_xlfn.SUMIFS(D12:D72,$H$12:$H$72,"da")</f>
        <v>1183601.53</v>
      </c>
      <c r="E74" s="100">
        <f>_xlfn.SUMIFS(E12:E72,$H$12:$H$72,"da")</f>
        <v>7413083.27</v>
      </c>
      <c r="F74" s="37"/>
      <c r="G74" s="36"/>
    </row>
    <row r="75" spans="1:6" ht="12.75">
      <c r="A75" s="48"/>
      <c r="B75" s="49"/>
      <c r="C75" s="50"/>
      <c r="D75" s="50"/>
      <c r="E75" s="50"/>
      <c r="F75" s="3"/>
    </row>
    <row r="76" spans="1:6" ht="12.75">
      <c r="A76" s="48"/>
      <c r="B76" s="49"/>
      <c r="C76" s="50"/>
      <c r="D76" s="50"/>
      <c r="E76" s="50"/>
      <c r="F76" s="3"/>
    </row>
    <row r="77" spans="1:6" ht="12.75">
      <c r="A77" s="48"/>
      <c r="B77" s="49"/>
      <c r="C77" s="50"/>
      <c r="D77" s="50"/>
      <c r="E77" s="50"/>
      <c r="F77" s="3"/>
    </row>
    <row r="78" spans="1:6" ht="15.75">
      <c r="A78" s="48"/>
      <c r="B78" s="88" t="s">
        <v>98</v>
      </c>
      <c r="C78" s="90">
        <f>E73</f>
        <v>7892455.07</v>
      </c>
      <c r="D78" s="50"/>
      <c r="E78" s="50"/>
      <c r="F78" s="3"/>
    </row>
    <row r="79" spans="1:6" ht="15.75">
      <c r="A79" s="48"/>
      <c r="B79" s="89" t="s">
        <v>30</v>
      </c>
      <c r="C79" s="90">
        <f>E68+E38</f>
        <v>4003345.38</v>
      </c>
      <c r="D79" s="50"/>
      <c r="E79" s="50"/>
      <c r="F79" s="3"/>
    </row>
    <row r="80" spans="1:6" ht="15.75">
      <c r="A80" s="48"/>
      <c r="B80" s="89" t="s">
        <v>29</v>
      </c>
      <c r="C80" s="108">
        <f>C78-C79</f>
        <v>3889109.6900000004</v>
      </c>
      <c r="D80" s="50"/>
      <c r="E80" s="50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2" t="s">
        <v>114</v>
      </c>
      <c r="C82" s="103" t="s">
        <v>108</v>
      </c>
      <c r="D82" s="103" t="s">
        <v>109</v>
      </c>
      <c r="E82" s="92"/>
      <c r="F82" s="93"/>
    </row>
    <row r="83" spans="1:6" ht="15.75">
      <c r="A83" s="6"/>
      <c r="B83" s="89" t="s">
        <v>110</v>
      </c>
      <c r="C83" s="106">
        <f>_xlfn.SUMIFS(C37:C54,G37:G54,"=da")</f>
        <v>3306572.34</v>
      </c>
      <c r="D83" s="106">
        <f>_xlfn.SUMIFS(C37:C54,G37:G54,"=nu")</f>
        <v>3268159.4</v>
      </c>
      <c r="E83" s="92"/>
      <c r="F83" s="93"/>
    </row>
    <row r="84" spans="1:7" ht="15.75">
      <c r="A84" s="6"/>
      <c r="B84" s="89" t="s">
        <v>111</v>
      </c>
      <c r="C84" s="106">
        <v>3306572.34</v>
      </c>
      <c r="D84" s="106">
        <f>C73-C84</f>
        <v>3336683.700000001</v>
      </c>
      <c r="E84" s="92"/>
      <c r="F84" s="93"/>
      <c r="G84" s="107"/>
    </row>
    <row r="85" spans="1:6" ht="15.75">
      <c r="A85" s="6"/>
      <c r="B85" s="89" t="s">
        <v>115</v>
      </c>
      <c r="C85" s="106">
        <f>C84/2146*1000</f>
        <v>1540807.2413793101</v>
      </c>
      <c r="D85" s="106">
        <f>D84/2146*1000</f>
        <v>1554838.6300093203</v>
      </c>
      <c r="E85" s="92"/>
      <c r="F85" s="93"/>
    </row>
    <row r="86" spans="1:6" ht="15.75">
      <c r="A86" s="6"/>
      <c r="B86" s="89" t="s">
        <v>113</v>
      </c>
      <c r="C86" s="106">
        <f>C85/C89</f>
        <v>317169.04927528</v>
      </c>
      <c r="D86" s="106">
        <f>D85/C89</f>
        <v>320057.35488046944</v>
      </c>
      <c r="E86" s="92"/>
      <c r="F86" s="93"/>
    </row>
    <row r="87" spans="1:6" ht="15.75">
      <c r="A87" s="6"/>
      <c r="D87" s="91"/>
      <c r="E87" s="91"/>
      <c r="F87" s="94"/>
    </row>
    <row r="88" spans="1:6" ht="15.75">
      <c r="A88" s="7"/>
      <c r="B88" s="89" t="s">
        <v>106</v>
      </c>
      <c r="C88" s="104">
        <v>44811</v>
      </c>
      <c r="D88" s="95"/>
      <c r="E88" s="95"/>
      <c r="F88" s="94"/>
    </row>
    <row r="89" spans="1:6" ht="15.75">
      <c r="A89" s="13"/>
      <c r="B89" s="89" t="s">
        <v>107</v>
      </c>
      <c r="C89" s="105">
        <v>4.858</v>
      </c>
      <c r="D89" s="91"/>
      <c r="E89" s="91"/>
      <c r="F89" s="94"/>
    </row>
    <row r="90" spans="1:6" ht="47.25">
      <c r="A90" s="13"/>
      <c r="B90" s="101" t="s">
        <v>119</v>
      </c>
      <c r="C90" s="109" t="s">
        <v>121</v>
      </c>
      <c r="D90" s="96"/>
      <c r="E90" s="96"/>
      <c r="F90" s="94"/>
    </row>
    <row r="91" spans="1:5" ht="15.75">
      <c r="A91" s="13"/>
      <c r="C91" s="92"/>
      <c r="D91" s="92"/>
      <c r="E91" s="92"/>
    </row>
    <row r="92" ht="12.75">
      <c r="A92" s="13"/>
    </row>
    <row r="93" spans="1:5" ht="12.75">
      <c r="A93" s="13"/>
      <c r="B93" s="14"/>
      <c r="C93" s="15"/>
      <c r="D93" s="16"/>
      <c r="E93" s="16"/>
    </row>
    <row r="94" spans="1:5" ht="15.75">
      <c r="A94" s="18"/>
      <c r="B94" s="97" t="s">
        <v>25</v>
      </c>
      <c r="C94" s="15"/>
      <c r="D94" s="16"/>
      <c r="E94" s="98"/>
    </row>
    <row r="95" spans="1:5" ht="15.75">
      <c r="A95" s="17"/>
      <c r="B95" s="110" t="s">
        <v>118</v>
      </c>
      <c r="C95" s="17"/>
      <c r="D95" s="17"/>
      <c r="E95" s="17"/>
    </row>
    <row r="96" spans="1:5" ht="15.75">
      <c r="A96" s="17"/>
      <c r="B96" s="110" t="s">
        <v>122</v>
      </c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 t="s">
        <v>123</v>
      </c>
      <c r="C98" s="17"/>
      <c r="D98" s="17" t="s">
        <v>124</v>
      </c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  <row r="102" spans="1:5" ht="12.75">
      <c r="A102" s="17"/>
      <c r="B102" s="17"/>
      <c r="C102" s="17"/>
      <c r="D102" s="17"/>
      <c r="E102" s="17"/>
    </row>
  </sheetData>
  <sheetProtection/>
  <mergeCells count="11">
    <mergeCell ref="A11:E11"/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:H15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7" spans="1:8" ht="12.75">
      <c r="A7" s="138"/>
      <c r="B7" s="138"/>
      <c r="C7" s="138"/>
      <c r="D7" s="138"/>
      <c r="E7" s="138"/>
      <c r="F7" s="138"/>
      <c r="G7" s="138"/>
      <c r="H7" s="138"/>
    </row>
    <row r="8" spans="1:8" ht="12.75">
      <c r="A8" s="138"/>
      <c r="B8" s="138"/>
      <c r="C8" s="138"/>
      <c r="D8" s="138"/>
      <c r="E8" s="138"/>
      <c r="F8" s="138"/>
      <c r="G8" s="138"/>
      <c r="H8" s="138"/>
    </row>
    <row r="9" spans="1:8" ht="12.75">
      <c r="A9" s="138"/>
      <c r="B9" s="138"/>
      <c r="C9" s="138"/>
      <c r="D9" s="138"/>
      <c r="E9" s="138"/>
      <c r="F9" s="138"/>
      <c r="G9" s="138"/>
      <c r="H9" s="138"/>
    </row>
    <row r="10" spans="1:8" ht="12.75">
      <c r="A10" s="138"/>
      <c r="B10" s="138"/>
      <c r="C10" s="138"/>
      <c r="D10" s="138"/>
      <c r="E10" s="138"/>
      <c r="F10" s="138"/>
      <c r="G10" s="138"/>
      <c r="H10" s="138"/>
    </row>
    <row r="11" spans="1:8" ht="12.75">
      <c r="A11" s="138"/>
      <c r="B11" s="138"/>
      <c r="C11" s="138"/>
      <c r="D11" s="138"/>
      <c r="E11" s="138"/>
      <c r="F11" s="138"/>
      <c r="G11" s="138"/>
      <c r="H11" s="138"/>
    </row>
    <row r="12" spans="1:8" ht="12.75">
      <c r="A12" s="138"/>
      <c r="B12" s="138"/>
      <c r="C12" s="138"/>
      <c r="D12" s="138"/>
      <c r="E12" s="138"/>
      <c r="F12" s="138"/>
      <c r="G12" s="138"/>
      <c r="H12" s="138"/>
    </row>
    <row r="13" spans="1:8" ht="12.75">
      <c r="A13" s="138"/>
      <c r="B13" s="138" t="s">
        <v>116</v>
      </c>
      <c r="C13" s="138" t="s">
        <v>117</v>
      </c>
      <c r="D13" s="138"/>
      <c r="E13" s="138"/>
      <c r="F13" s="138"/>
      <c r="G13" s="138"/>
      <c r="H13" s="138"/>
    </row>
    <row r="14" spans="1:8" ht="12.75">
      <c r="A14" s="138">
        <v>18627070</v>
      </c>
      <c r="B14" s="138">
        <f>A14/1.19</f>
        <v>15653000</v>
      </c>
      <c r="C14" s="138">
        <f>B14/(B14+B15)</f>
        <v>0.7497365648050579</v>
      </c>
      <c r="D14" s="138">
        <f>C14*24483184</f>
        <v>18355938.267650157</v>
      </c>
      <c r="E14" s="138">
        <f>D14/12.625</f>
        <v>1453935.7043683294</v>
      </c>
      <c r="F14" s="138">
        <f>E14/4.95</f>
        <v>293724.3847208746</v>
      </c>
      <c r="G14" s="138"/>
      <c r="H14" s="138"/>
    </row>
    <row r="15" spans="1:8" ht="12.75">
      <c r="A15" s="138">
        <v>6217750</v>
      </c>
      <c r="B15" s="138">
        <f>A15/1.19</f>
        <v>5225000</v>
      </c>
      <c r="C15" s="138">
        <f>B15/(B14+B15)</f>
        <v>0.25026343519494204</v>
      </c>
      <c r="D15" s="138"/>
      <c r="E15" s="138"/>
      <c r="F15" s="138"/>
      <c r="G15" s="138"/>
      <c r="H15" s="1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2023-02-01T07:44:39Z</cp:lastPrinted>
  <dcterms:created xsi:type="dcterms:W3CDTF">2010-01-11T12:40:54Z</dcterms:created>
  <dcterms:modified xsi:type="dcterms:W3CDTF">2023-02-10T08:35:00Z</dcterms:modified>
  <cp:category/>
  <cp:version/>
  <cp:contentType/>
  <cp:contentStatus/>
</cp:coreProperties>
</file>