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Mirela.Sinca\Desktop\hcl 339 - 346\hcl 344\Anexe la hcl 344\"/>
    </mc:Choice>
  </mc:AlternateContent>
  <xr:revisionPtr revIDLastSave="0" documentId="13_ncr:1_{E10C373C-065B-49B2-A8B0-A62629099994}" xr6:coauthVersionLast="47" xr6:coauthVersionMax="47" xr10:uidLastSave="{00000000-0000-0000-0000-000000000000}"/>
  <bookViews>
    <workbookView xWindow="-120" yWindow="-120" windowWidth="29040" windowHeight="15840" xr2:uid="{11E918BA-EBE5-4072-ABD6-F6E15CA2F1E0}"/>
  </bookViews>
  <sheets>
    <sheet name="22,12,2025" sheetId="1" r:id="rId1"/>
  </sheets>
  <definedNames>
    <definedName name="_xlnm.Print_Area" localSheetId="0">'22,12,2025'!$A$1:$J$655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99" i="1" l="1"/>
  <c r="P393" i="1"/>
  <c r="P392" i="1"/>
  <c r="P391" i="1"/>
  <c r="Q389" i="1" s="1"/>
  <c r="D389" i="1"/>
  <c r="D387" i="1"/>
  <c r="J384" i="1"/>
  <c r="I384" i="1"/>
  <c r="H384" i="1"/>
  <c r="G384" i="1"/>
  <c r="F384" i="1"/>
  <c r="E384" i="1"/>
  <c r="D384" i="1"/>
  <c r="M376" i="1"/>
  <c r="H375" i="1"/>
  <c r="D375" i="1"/>
  <c r="F374" i="1"/>
  <c r="E374" i="1"/>
  <c r="J373" i="1"/>
  <c r="J375" i="1" s="1"/>
  <c r="J383" i="1" s="1"/>
  <c r="I373" i="1"/>
  <c r="I375" i="1" s="1"/>
  <c r="H373" i="1"/>
  <c r="G373" i="1"/>
  <c r="G375" i="1" s="1"/>
  <c r="E373" i="1"/>
  <c r="D373" i="1"/>
  <c r="F372" i="1"/>
  <c r="F373" i="1" s="1"/>
  <c r="E372" i="1"/>
  <c r="J370" i="1"/>
  <c r="E369" i="1"/>
  <c r="J368" i="1"/>
  <c r="I368" i="1"/>
  <c r="I370" i="1" s="1"/>
  <c r="H368" i="1"/>
  <c r="H370" i="1" s="1"/>
  <c r="G367" i="1"/>
  <c r="F367" i="1" s="1"/>
  <c r="D367" i="1"/>
  <c r="E367" i="1" s="1"/>
  <c r="F366" i="1"/>
  <c r="E366" i="1"/>
  <c r="F365" i="1"/>
  <c r="E365" i="1"/>
  <c r="F364" i="1"/>
  <c r="E364" i="1"/>
  <c r="F363" i="1"/>
  <c r="E363" i="1"/>
  <c r="F362" i="1"/>
  <c r="D362" i="1"/>
  <c r="E362" i="1" s="1"/>
  <c r="F361" i="1"/>
  <c r="E361" i="1"/>
  <c r="F360" i="1"/>
  <c r="E360" i="1"/>
  <c r="F359" i="1"/>
  <c r="E359" i="1"/>
  <c r="F358" i="1"/>
  <c r="E358" i="1"/>
  <c r="D358" i="1"/>
  <c r="F357" i="1"/>
  <c r="D357" i="1"/>
  <c r="E357" i="1" s="1"/>
  <c r="F356" i="1"/>
  <c r="E356" i="1"/>
  <c r="F355" i="1"/>
  <c r="E355" i="1"/>
  <c r="F354" i="1"/>
  <c r="E354" i="1"/>
  <c r="F353" i="1"/>
  <c r="E353" i="1"/>
  <c r="F352" i="1"/>
  <c r="E352" i="1"/>
  <c r="F351" i="1"/>
  <c r="E351" i="1"/>
  <c r="F350" i="1"/>
  <c r="E350" i="1"/>
  <c r="F349" i="1"/>
  <c r="E349" i="1"/>
  <c r="E348" i="1"/>
  <c r="D348" i="1"/>
  <c r="F348" i="1" s="1"/>
  <c r="F347" i="1"/>
  <c r="E347" i="1"/>
  <c r="F346" i="1"/>
  <c r="E346" i="1"/>
  <c r="F345" i="1"/>
  <c r="D345" i="1"/>
  <c r="E345" i="1" s="1"/>
  <c r="F344" i="1"/>
  <c r="E344" i="1"/>
  <c r="D344" i="1"/>
  <c r="F343" i="1"/>
  <c r="E343" i="1"/>
  <c r="F342" i="1"/>
  <c r="E342" i="1"/>
  <c r="F341" i="1"/>
  <c r="E341" i="1"/>
  <c r="F340" i="1"/>
  <c r="E340" i="1"/>
  <c r="F339" i="1"/>
  <c r="E339" i="1"/>
  <c r="D338" i="1"/>
  <c r="E338" i="1" s="1"/>
  <c r="F337" i="1"/>
  <c r="E337" i="1"/>
  <c r="E336" i="1"/>
  <c r="D336" i="1"/>
  <c r="F336" i="1" s="1"/>
  <c r="D335" i="1"/>
  <c r="E335" i="1" s="1"/>
  <c r="F334" i="1"/>
  <c r="E334" i="1"/>
  <c r="F333" i="1"/>
  <c r="E333" i="1"/>
  <c r="F332" i="1"/>
  <c r="E332" i="1"/>
  <c r="E331" i="1"/>
  <c r="D331" i="1"/>
  <c r="F331" i="1" s="1"/>
  <c r="D330" i="1"/>
  <c r="E330" i="1" s="1"/>
  <c r="F329" i="1"/>
  <c r="E329" i="1"/>
  <c r="F328" i="1"/>
  <c r="E328" i="1"/>
  <c r="F327" i="1"/>
  <c r="E327" i="1"/>
  <c r="F326" i="1"/>
  <c r="E326" i="1"/>
  <c r="F325" i="1"/>
  <c r="E325" i="1"/>
  <c r="F324" i="1"/>
  <c r="E324" i="1"/>
  <c r="F323" i="1"/>
  <c r="E323" i="1"/>
  <c r="F322" i="1"/>
  <c r="E322" i="1"/>
  <c r="E321" i="1"/>
  <c r="D321" i="1"/>
  <c r="F321" i="1" s="1"/>
  <c r="F320" i="1"/>
  <c r="E320" i="1"/>
  <c r="D319" i="1"/>
  <c r="F318" i="1"/>
  <c r="E318" i="1"/>
  <c r="F317" i="1"/>
  <c r="E317" i="1"/>
  <c r="F316" i="1"/>
  <c r="E316" i="1"/>
  <c r="F315" i="1"/>
  <c r="E315" i="1"/>
  <c r="I313" i="1"/>
  <c r="G313" i="1"/>
  <c r="F312" i="1"/>
  <c r="E312" i="1"/>
  <c r="J311" i="1"/>
  <c r="J313" i="1" s="1"/>
  <c r="I311" i="1"/>
  <c r="H311" i="1"/>
  <c r="H313" i="1" s="1"/>
  <c r="D311" i="1"/>
  <c r="G310" i="1"/>
  <c r="G311" i="1" s="1"/>
  <c r="D310" i="1"/>
  <c r="E310" i="1" s="1"/>
  <c r="F309" i="1"/>
  <c r="E309" i="1"/>
  <c r="F308" i="1"/>
  <c r="E308" i="1"/>
  <c r="F307" i="1"/>
  <c r="E307" i="1"/>
  <c r="F306" i="1"/>
  <c r="E306" i="1"/>
  <c r="D306" i="1"/>
  <c r="F305" i="1"/>
  <c r="E305" i="1"/>
  <c r="F304" i="1"/>
  <c r="E304" i="1"/>
  <c r="F303" i="1"/>
  <c r="E303" i="1"/>
  <c r="F302" i="1"/>
  <c r="E302" i="1"/>
  <c r="F301" i="1"/>
  <c r="E301" i="1"/>
  <c r="H299" i="1"/>
  <c r="F298" i="1"/>
  <c r="E298" i="1"/>
  <c r="H297" i="1"/>
  <c r="G297" i="1"/>
  <c r="G299" i="1" s="1"/>
  <c r="F296" i="1"/>
  <c r="E296" i="1"/>
  <c r="F295" i="1"/>
  <c r="E295" i="1"/>
  <c r="F294" i="1"/>
  <c r="E294" i="1"/>
  <c r="F293" i="1"/>
  <c r="E293" i="1"/>
  <c r="F292" i="1"/>
  <c r="E292" i="1"/>
  <c r="J291" i="1"/>
  <c r="F291" i="1" s="1"/>
  <c r="I291" i="1"/>
  <c r="E291" i="1"/>
  <c r="O290" i="1"/>
  <c r="N290" i="1"/>
  <c r="E290" i="1"/>
  <c r="G289" i="1"/>
  <c r="E289" i="1"/>
  <c r="D289" i="1"/>
  <c r="D297" i="1" s="1"/>
  <c r="C289" i="1"/>
  <c r="C290" i="1" s="1"/>
  <c r="C291" i="1" s="1"/>
  <c r="O288" i="1"/>
  <c r="F288" i="1"/>
  <c r="E288" i="1"/>
  <c r="C288" i="1"/>
  <c r="B288" i="1"/>
  <c r="B289" i="1" s="1"/>
  <c r="B290" i="1" s="1"/>
  <c r="B291" i="1" s="1"/>
  <c r="F287" i="1"/>
  <c r="E287" i="1"/>
  <c r="F286" i="1"/>
  <c r="E286" i="1"/>
  <c r="N285" i="1"/>
  <c r="R400" i="1" s="1"/>
  <c r="R401" i="1" s="1"/>
  <c r="F285" i="1"/>
  <c r="E285" i="1"/>
  <c r="O284" i="1"/>
  <c r="F284" i="1"/>
  <c r="E284" i="1"/>
  <c r="E297" i="1" s="1"/>
  <c r="F283" i="1"/>
  <c r="E283" i="1"/>
  <c r="I281" i="1"/>
  <c r="G281" i="1"/>
  <c r="E281" i="1"/>
  <c r="J279" i="1"/>
  <c r="I279" i="1"/>
  <c r="H279" i="1"/>
  <c r="G279" i="1"/>
  <c r="F279" i="1"/>
  <c r="E279" i="1"/>
  <c r="D279" i="1"/>
  <c r="J275" i="1"/>
  <c r="M274" i="1"/>
  <c r="P390" i="1" s="1"/>
  <c r="F274" i="1"/>
  <c r="E274" i="1"/>
  <c r="J273" i="1"/>
  <c r="J290" i="1" s="1"/>
  <c r="J297" i="1" s="1"/>
  <c r="J299" i="1" s="1"/>
  <c r="I273" i="1"/>
  <c r="I290" i="1" s="1"/>
  <c r="I297" i="1" s="1"/>
  <c r="H273" i="1"/>
  <c r="H275" i="1" s="1"/>
  <c r="H382" i="1" s="1"/>
  <c r="D273" i="1"/>
  <c r="D275" i="1" s="1"/>
  <c r="H272" i="1"/>
  <c r="G272" i="1"/>
  <c r="G273" i="1" s="1"/>
  <c r="G275" i="1" s="1"/>
  <c r="E272" i="1"/>
  <c r="F272" i="1" s="1"/>
  <c r="E271" i="1"/>
  <c r="F271" i="1" s="1"/>
  <c r="E270" i="1"/>
  <c r="F270" i="1" s="1"/>
  <c r="E269" i="1"/>
  <c r="F269" i="1" s="1"/>
  <c r="F268" i="1"/>
  <c r="F267" i="1"/>
  <c r="E267" i="1"/>
  <c r="F266" i="1"/>
  <c r="E266" i="1"/>
  <c r="F265" i="1"/>
  <c r="F273" i="1" s="1"/>
  <c r="E265" i="1"/>
  <c r="F264" i="1"/>
  <c r="J262" i="1"/>
  <c r="I262" i="1"/>
  <c r="H262" i="1"/>
  <c r="G262" i="1"/>
  <c r="E262" i="1"/>
  <c r="D262" i="1"/>
  <c r="D395" i="1" s="1"/>
  <c r="F261" i="1"/>
  <c r="F262" i="1" s="1"/>
  <c r="E261" i="1"/>
  <c r="J258" i="1"/>
  <c r="H258" i="1"/>
  <c r="F258" i="1"/>
  <c r="D258" i="1"/>
  <c r="F257" i="1"/>
  <c r="E257" i="1"/>
  <c r="J256" i="1"/>
  <c r="I256" i="1"/>
  <c r="I258" i="1" s="1"/>
  <c r="H256" i="1"/>
  <c r="G256" i="1"/>
  <c r="G258" i="1" s="1"/>
  <c r="E256" i="1"/>
  <c r="E258" i="1" s="1"/>
  <c r="D256" i="1"/>
  <c r="F255" i="1"/>
  <c r="F256" i="1" s="1"/>
  <c r="E255" i="1"/>
  <c r="J253" i="1"/>
  <c r="H253" i="1"/>
  <c r="D253" i="1"/>
  <c r="J251" i="1"/>
  <c r="I251" i="1"/>
  <c r="I253" i="1" s="1"/>
  <c r="H251" i="1"/>
  <c r="G251" i="1"/>
  <c r="G253" i="1" s="1"/>
  <c r="E251" i="1"/>
  <c r="E253" i="1" s="1"/>
  <c r="D251" i="1"/>
  <c r="F250" i="1"/>
  <c r="F251" i="1" s="1"/>
  <c r="F253" i="1" s="1"/>
  <c r="I248" i="1"/>
  <c r="G248" i="1"/>
  <c r="F247" i="1"/>
  <c r="E247" i="1"/>
  <c r="J246" i="1"/>
  <c r="J248" i="1" s="1"/>
  <c r="I246" i="1"/>
  <c r="H246" i="1"/>
  <c r="H248" i="1" s="1"/>
  <c r="G246" i="1"/>
  <c r="D246" i="1"/>
  <c r="D248" i="1" s="1"/>
  <c r="F245" i="1"/>
  <c r="E245" i="1"/>
  <c r="F244" i="1"/>
  <c r="E244" i="1"/>
  <c r="E243" i="1"/>
  <c r="D243" i="1"/>
  <c r="F243" i="1" s="1"/>
  <c r="F242" i="1"/>
  <c r="E242" i="1"/>
  <c r="F241" i="1"/>
  <c r="E241" i="1"/>
  <c r="F240" i="1"/>
  <c r="E240" i="1"/>
  <c r="F239" i="1"/>
  <c r="E239" i="1"/>
  <c r="F238" i="1"/>
  <c r="E238" i="1"/>
  <c r="F237" i="1"/>
  <c r="E237" i="1"/>
  <c r="F236" i="1"/>
  <c r="E236" i="1"/>
  <c r="F235" i="1"/>
  <c r="E235" i="1"/>
  <c r="F234" i="1"/>
  <c r="E234" i="1"/>
  <c r="F233" i="1"/>
  <c r="E233" i="1"/>
  <c r="F232" i="1"/>
  <c r="F246" i="1" s="1"/>
  <c r="F248" i="1" s="1"/>
  <c r="E232" i="1"/>
  <c r="F231" i="1"/>
  <c r="E231" i="1"/>
  <c r="E246" i="1" s="1"/>
  <c r="E248" i="1" s="1"/>
  <c r="J229" i="1"/>
  <c r="H229" i="1"/>
  <c r="D229" i="1"/>
  <c r="F228" i="1"/>
  <c r="E228" i="1"/>
  <c r="J227" i="1"/>
  <c r="I227" i="1"/>
  <c r="I229" i="1" s="1"/>
  <c r="H227" i="1"/>
  <c r="G227" i="1"/>
  <c r="G229" i="1" s="1"/>
  <c r="E227" i="1"/>
  <c r="E229" i="1" s="1"/>
  <c r="D227" i="1"/>
  <c r="F226" i="1"/>
  <c r="E226" i="1"/>
  <c r="F225" i="1"/>
  <c r="E225" i="1"/>
  <c r="F224" i="1"/>
  <c r="E224" i="1"/>
  <c r="F223" i="1"/>
  <c r="E223" i="1"/>
  <c r="F222" i="1"/>
  <c r="E222" i="1"/>
  <c r="F221" i="1"/>
  <c r="E221" i="1"/>
  <c r="J219" i="1"/>
  <c r="H219" i="1"/>
  <c r="F219" i="1"/>
  <c r="D219" i="1"/>
  <c r="J217" i="1"/>
  <c r="I217" i="1"/>
  <c r="H217" i="1"/>
  <c r="G217" i="1"/>
  <c r="G219" i="1" s="1"/>
  <c r="F217" i="1"/>
  <c r="E217" i="1"/>
  <c r="E219" i="1" s="1"/>
  <c r="D217" i="1"/>
  <c r="G214" i="1"/>
  <c r="J212" i="1"/>
  <c r="I212" i="1"/>
  <c r="H212" i="1"/>
  <c r="O209" i="1" s="1"/>
  <c r="G212" i="1"/>
  <c r="D212" i="1"/>
  <c r="E211" i="1"/>
  <c r="P209" i="1"/>
  <c r="H209" i="1"/>
  <c r="J205" i="1"/>
  <c r="I205" i="1"/>
  <c r="H205" i="1"/>
  <c r="G205" i="1"/>
  <c r="F204" i="1"/>
  <c r="E204" i="1"/>
  <c r="F203" i="1"/>
  <c r="E203" i="1"/>
  <c r="F202" i="1"/>
  <c r="E202" i="1"/>
  <c r="F201" i="1"/>
  <c r="F200" i="1"/>
  <c r="E200" i="1"/>
  <c r="F199" i="1"/>
  <c r="E199" i="1"/>
  <c r="F198" i="1"/>
  <c r="E198" i="1"/>
  <c r="F197" i="1"/>
  <c r="E197" i="1"/>
  <c r="F196" i="1"/>
  <c r="E196" i="1"/>
  <c r="F195" i="1"/>
  <c r="E195" i="1"/>
  <c r="F194" i="1"/>
  <c r="E194" i="1"/>
  <c r="F193" i="1"/>
  <c r="E193" i="1"/>
  <c r="D193" i="1"/>
  <c r="F192" i="1"/>
  <c r="E192" i="1"/>
  <c r="F191" i="1"/>
  <c r="E191" i="1"/>
  <c r="F190" i="1"/>
  <c r="F189" i="1"/>
  <c r="E189" i="1"/>
  <c r="F188" i="1"/>
  <c r="E188" i="1"/>
  <c r="F187" i="1"/>
  <c r="E187" i="1"/>
  <c r="F186" i="1"/>
  <c r="E186" i="1"/>
  <c r="F185" i="1"/>
  <c r="E185" i="1"/>
  <c r="F184" i="1"/>
  <c r="E184" i="1"/>
  <c r="G183" i="1"/>
  <c r="D183" i="1"/>
  <c r="E183" i="1" s="1"/>
  <c r="G182" i="1"/>
  <c r="F182" i="1"/>
  <c r="E182" i="1"/>
  <c r="F181" i="1"/>
  <c r="E181" i="1"/>
  <c r="F180" i="1"/>
  <c r="E180" i="1"/>
  <c r="F179" i="1"/>
  <c r="E179" i="1"/>
  <c r="F178" i="1"/>
  <c r="E178" i="1"/>
  <c r="F177" i="1"/>
  <c r="E177" i="1"/>
  <c r="F176" i="1"/>
  <c r="F175" i="1"/>
  <c r="E175" i="1"/>
  <c r="G174" i="1"/>
  <c r="F174" i="1"/>
  <c r="D174" i="1"/>
  <c r="F173" i="1"/>
  <c r="F172" i="1"/>
  <c r="E172" i="1"/>
  <c r="F171" i="1"/>
  <c r="E171" i="1"/>
  <c r="F170" i="1"/>
  <c r="E170" i="1"/>
  <c r="F169" i="1"/>
  <c r="E169" i="1"/>
  <c r="J167" i="1"/>
  <c r="I167" i="1"/>
  <c r="F166" i="1"/>
  <c r="E166" i="1"/>
  <c r="F165" i="1"/>
  <c r="E165" i="1"/>
  <c r="F164" i="1"/>
  <c r="E164" i="1"/>
  <c r="F163" i="1"/>
  <c r="E163" i="1"/>
  <c r="G162" i="1"/>
  <c r="F162" i="1"/>
  <c r="E162" i="1"/>
  <c r="G161" i="1"/>
  <c r="F161" i="1" s="1"/>
  <c r="E161" i="1"/>
  <c r="G160" i="1"/>
  <c r="F160" i="1"/>
  <c r="E160" i="1"/>
  <c r="G159" i="1"/>
  <c r="F159" i="1" s="1"/>
  <c r="E159" i="1"/>
  <c r="E158" i="1"/>
  <c r="D158" i="1"/>
  <c r="F158" i="1" s="1"/>
  <c r="F157" i="1"/>
  <c r="E157" i="1"/>
  <c r="F156" i="1"/>
  <c r="E156" i="1"/>
  <c r="F155" i="1"/>
  <c r="E155" i="1"/>
  <c r="F154" i="1"/>
  <c r="E154" i="1"/>
  <c r="F153" i="1"/>
  <c r="E153" i="1"/>
  <c r="F152" i="1"/>
  <c r="E152" i="1"/>
  <c r="F151" i="1"/>
  <c r="E151" i="1"/>
  <c r="F150" i="1"/>
  <c r="E150" i="1"/>
  <c r="F149" i="1"/>
  <c r="E149" i="1"/>
  <c r="D148" i="1"/>
  <c r="E148" i="1" s="1"/>
  <c r="F148" i="1" s="1"/>
  <c r="F147" i="1"/>
  <c r="E147" i="1"/>
  <c r="F146" i="1"/>
  <c r="E146" i="1"/>
  <c r="E145" i="1"/>
  <c r="D145" i="1"/>
  <c r="F145" i="1" s="1"/>
  <c r="F144" i="1"/>
  <c r="E144" i="1"/>
  <c r="F143" i="1"/>
  <c r="D143" i="1"/>
  <c r="E143" i="1" s="1"/>
  <c r="F142" i="1"/>
  <c r="E142" i="1"/>
  <c r="F141" i="1"/>
  <c r="E141" i="1"/>
  <c r="F140" i="1"/>
  <c r="E140" i="1"/>
  <c r="G139" i="1"/>
  <c r="D139" i="1"/>
  <c r="E139" i="1" s="1"/>
  <c r="G138" i="1"/>
  <c r="F138" i="1"/>
  <c r="D138" i="1"/>
  <c r="E138" i="1" s="1"/>
  <c r="G137" i="1"/>
  <c r="D137" i="1"/>
  <c r="E137" i="1" s="1"/>
  <c r="F136" i="1"/>
  <c r="E136" i="1"/>
  <c r="F135" i="1"/>
  <c r="F134" i="1"/>
  <c r="E134" i="1"/>
  <c r="F133" i="1"/>
  <c r="E133" i="1"/>
  <c r="F132" i="1"/>
  <c r="E132" i="1"/>
  <c r="F131" i="1"/>
  <c r="E131" i="1"/>
  <c r="G130" i="1"/>
  <c r="F130" i="1" s="1"/>
  <c r="E130" i="1"/>
  <c r="F129" i="1"/>
  <c r="E129" i="1"/>
  <c r="F128" i="1"/>
  <c r="E128" i="1"/>
  <c r="F127" i="1"/>
  <c r="E127" i="1"/>
  <c r="D127" i="1"/>
  <c r="F126" i="1"/>
  <c r="E126" i="1"/>
  <c r="D125" i="1"/>
  <c r="E125" i="1" s="1"/>
  <c r="F124" i="1"/>
  <c r="E124" i="1"/>
  <c r="F123" i="1"/>
  <c r="E123" i="1"/>
  <c r="F122" i="1"/>
  <c r="E122" i="1"/>
  <c r="D122" i="1"/>
  <c r="F121" i="1"/>
  <c r="E121" i="1"/>
  <c r="F120" i="1"/>
  <c r="E120" i="1"/>
  <c r="F119" i="1"/>
  <c r="D119" i="1"/>
  <c r="E119" i="1" s="1"/>
  <c r="E118" i="1"/>
  <c r="D118" i="1"/>
  <c r="F118" i="1" s="1"/>
  <c r="F117" i="1"/>
  <c r="E117" i="1"/>
  <c r="G116" i="1"/>
  <c r="F116" i="1" s="1"/>
  <c r="E116" i="1"/>
  <c r="F115" i="1"/>
  <c r="E115" i="1"/>
  <c r="F114" i="1"/>
  <c r="E114" i="1"/>
  <c r="D114" i="1"/>
  <c r="G113" i="1"/>
  <c r="F113" i="1" s="1"/>
  <c r="E113" i="1"/>
  <c r="G112" i="1"/>
  <c r="F112" i="1"/>
  <c r="E112" i="1"/>
  <c r="G111" i="1"/>
  <c r="F111" i="1" s="1"/>
  <c r="E111" i="1"/>
  <c r="G110" i="1"/>
  <c r="F110" i="1"/>
  <c r="E110" i="1"/>
  <c r="G109" i="1"/>
  <c r="F109" i="1" s="1"/>
  <c r="E109" i="1"/>
  <c r="G108" i="1"/>
  <c r="F108" i="1"/>
  <c r="E108" i="1"/>
  <c r="F107" i="1"/>
  <c r="E107" i="1"/>
  <c r="G106" i="1"/>
  <c r="F106" i="1" s="1"/>
  <c r="E106" i="1"/>
  <c r="G105" i="1"/>
  <c r="F105" i="1"/>
  <c r="E105" i="1"/>
  <c r="F104" i="1"/>
  <c r="E104" i="1"/>
  <c r="F103" i="1"/>
  <c r="E103" i="1"/>
  <c r="F102" i="1"/>
  <c r="E102" i="1"/>
  <c r="D101" i="1"/>
  <c r="E101" i="1" s="1"/>
  <c r="F100" i="1"/>
  <c r="E100" i="1"/>
  <c r="G99" i="1"/>
  <c r="F99" i="1"/>
  <c r="E99" i="1"/>
  <c r="F98" i="1"/>
  <c r="E98" i="1"/>
  <c r="H97" i="1"/>
  <c r="H167" i="1" s="1"/>
  <c r="G97" i="1"/>
  <c r="F97" i="1"/>
  <c r="E97" i="1"/>
  <c r="F96" i="1"/>
  <c r="E96" i="1"/>
  <c r="G95" i="1"/>
  <c r="F95" i="1" s="1"/>
  <c r="E95" i="1"/>
  <c r="F94" i="1"/>
  <c r="E94" i="1"/>
  <c r="G93" i="1"/>
  <c r="G167" i="1" s="1"/>
  <c r="F93" i="1"/>
  <c r="E93" i="1"/>
  <c r="J91" i="1"/>
  <c r="I91" i="1"/>
  <c r="H91" i="1"/>
  <c r="G91" i="1"/>
  <c r="F91" i="1"/>
  <c r="D91" i="1"/>
  <c r="F90" i="1"/>
  <c r="E90" i="1"/>
  <c r="F89" i="1"/>
  <c r="E89" i="1"/>
  <c r="E91" i="1" s="1"/>
  <c r="D89" i="1"/>
  <c r="J87" i="1"/>
  <c r="I87" i="1"/>
  <c r="H87" i="1"/>
  <c r="F86" i="1"/>
  <c r="E86" i="1"/>
  <c r="F85" i="1"/>
  <c r="E85" i="1"/>
  <c r="F84" i="1"/>
  <c r="E84" i="1"/>
  <c r="F83" i="1"/>
  <c r="F82" i="1"/>
  <c r="F81" i="1"/>
  <c r="F80" i="1"/>
  <c r="E80" i="1"/>
  <c r="F79" i="1"/>
  <c r="E79" i="1"/>
  <c r="F78" i="1"/>
  <c r="E78" i="1"/>
  <c r="G77" i="1"/>
  <c r="E77" i="1"/>
  <c r="D77" i="1"/>
  <c r="F77" i="1" s="1"/>
  <c r="F76" i="1"/>
  <c r="E76" i="1"/>
  <c r="F75" i="1"/>
  <c r="E75" i="1"/>
  <c r="F74" i="1"/>
  <c r="E74" i="1"/>
  <c r="F73" i="1"/>
  <c r="E73" i="1"/>
  <c r="G72" i="1"/>
  <c r="F72" i="1" s="1"/>
  <c r="E72" i="1"/>
  <c r="G71" i="1"/>
  <c r="G87" i="1" s="1"/>
  <c r="F71" i="1"/>
  <c r="F70" i="1"/>
  <c r="E70" i="1"/>
  <c r="F69" i="1"/>
  <c r="E69" i="1"/>
  <c r="F68" i="1"/>
  <c r="E68" i="1"/>
  <c r="F67" i="1"/>
  <c r="E67" i="1"/>
  <c r="F66" i="1"/>
  <c r="E66" i="1"/>
  <c r="F65" i="1"/>
  <c r="F64" i="1"/>
  <c r="E64" i="1"/>
  <c r="D63" i="1"/>
  <c r="E63" i="1" s="1"/>
  <c r="F62" i="1"/>
  <c r="E62" i="1"/>
  <c r="F61" i="1"/>
  <c r="E61" i="1"/>
  <c r="F60" i="1"/>
  <c r="E60" i="1"/>
  <c r="J58" i="1"/>
  <c r="I58" i="1"/>
  <c r="H58" i="1"/>
  <c r="G58" i="1"/>
  <c r="D57" i="1"/>
  <c r="J55" i="1"/>
  <c r="I55" i="1"/>
  <c r="H55" i="1"/>
  <c r="G55" i="1"/>
  <c r="F54" i="1"/>
  <c r="E54" i="1"/>
  <c r="F53" i="1"/>
  <c r="E53" i="1"/>
  <c r="F52" i="1"/>
  <c r="E52" i="1"/>
  <c r="F51" i="1"/>
  <c r="E51" i="1"/>
  <c r="F50" i="1"/>
  <c r="E50" i="1"/>
  <c r="F49" i="1"/>
  <c r="E49" i="1"/>
  <c r="F48" i="1"/>
  <c r="E48" i="1"/>
  <c r="F47" i="1"/>
  <c r="E47" i="1"/>
  <c r="F46" i="1"/>
  <c r="E46" i="1"/>
  <c r="F45" i="1"/>
  <c r="D45" i="1"/>
  <c r="E45" i="1" s="1"/>
  <c r="E44" i="1"/>
  <c r="D44" i="1"/>
  <c r="F44" i="1" s="1"/>
  <c r="F43" i="1"/>
  <c r="F42" i="1"/>
  <c r="E42" i="1"/>
  <c r="F41" i="1"/>
  <c r="E41" i="1"/>
  <c r="F40" i="1"/>
  <c r="E40" i="1"/>
  <c r="F39" i="1"/>
  <c r="E39" i="1"/>
  <c r="F38" i="1"/>
  <c r="E38" i="1"/>
  <c r="F37" i="1"/>
  <c r="E37" i="1"/>
  <c r="F36" i="1"/>
  <c r="E36" i="1"/>
  <c r="F35" i="1"/>
  <c r="E35" i="1"/>
  <c r="F34" i="1"/>
  <c r="F33" i="1"/>
  <c r="E33" i="1"/>
  <c r="F32" i="1"/>
  <c r="E32" i="1"/>
  <c r="G31" i="1"/>
  <c r="F31" i="1" s="1"/>
  <c r="E31" i="1"/>
  <c r="D31" i="1"/>
  <c r="D55" i="1" s="1"/>
  <c r="F30" i="1"/>
  <c r="E30" i="1"/>
  <c r="F29" i="1"/>
  <c r="E29" i="1"/>
  <c r="F28" i="1"/>
  <c r="E28" i="1"/>
  <c r="E55" i="1" s="1"/>
  <c r="F27" i="1"/>
  <c r="E27" i="1"/>
  <c r="J25" i="1"/>
  <c r="I25" i="1"/>
  <c r="H25" i="1"/>
  <c r="G25" i="1"/>
  <c r="G381" i="1" s="1"/>
  <c r="F25" i="1"/>
  <c r="E25" i="1"/>
  <c r="D25" i="1"/>
  <c r="E17" i="1"/>
  <c r="D17" i="1"/>
  <c r="D388" i="1" s="1"/>
  <c r="F16" i="1"/>
  <c r="F17" i="1" s="1"/>
  <c r="E16" i="1"/>
  <c r="J13" i="1"/>
  <c r="J206" i="1" s="1"/>
  <c r="I13" i="1"/>
  <c r="H13" i="1"/>
  <c r="G13" i="1"/>
  <c r="F13" i="1"/>
  <c r="D13" i="1"/>
  <c r="F12" i="1"/>
  <c r="E12" i="1"/>
  <c r="F11" i="1"/>
  <c r="E11" i="1"/>
  <c r="F10" i="1"/>
  <c r="E10" i="1"/>
  <c r="F9" i="1"/>
  <c r="E9" i="1"/>
  <c r="F8" i="1"/>
  <c r="E8" i="1"/>
  <c r="E13" i="1" s="1"/>
  <c r="D382" i="1" l="1"/>
  <c r="F275" i="1"/>
  <c r="D381" i="1"/>
  <c r="H381" i="1"/>
  <c r="I299" i="1"/>
  <c r="I276" i="1"/>
  <c r="D390" i="1"/>
  <c r="L397" i="1" s="1"/>
  <c r="E57" i="1"/>
  <c r="E58" i="1" s="1"/>
  <c r="D58" i="1"/>
  <c r="D391" i="1" s="1"/>
  <c r="P394" i="1"/>
  <c r="Q388" i="1"/>
  <c r="J382" i="1"/>
  <c r="D281" i="1"/>
  <c r="H276" i="1"/>
  <c r="H281" i="1"/>
  <c r="E299" i="1"/>
  <c r="Q399" i="1"/>
  <c r="D313" i="1"/>
  <c r="D392" i="1" s="1"/>
  <c r="H383" i="1"/>
  <c r="G206" i="1"/>
  <c r="F55" i="1"/>
  <c r="F57" i="1"/>
  <c r="F58" i="1" s="1"/>
  <c r="F125" i="1"/>
  <c r="F137" i="1"/>
  <c r="D167" i="1"/>
  <c r="H206" i="1"/>
  <c r="J209" i="1"/>
  <c r="E212" i="1"/>
  <c r="F211" i="1"/>
  <c r="F212" i="1" s="1"/>
  <c r="D393" i="1"/>
  <c r="F290" i="1"/>
  <c r="F330" i="1"/>
  <c r="F338" i="1"/>
  <c r="G383" i="1"/>
  <c r="G386" i="1" s="1"/>
  <c r="E375" i="1"/>
  <c r="I381" i="1"/>
  <c r="I386" i="1" s="1"/>
  <c r="F63" i="1"/>
  <c r="F87" i="1" s="1"/>
  <c r="D87" i="1"/>
  <c r="E167" i="1"/>
  <c r="D209" i="1"/>
  <c r="D214" i="1"/>
  <c r="K209" i="1"/>
  <c r="F227" i="1"/>
  <c r="F229" i="1" s="1"/>
  <c r="E273" i="1"/>
  <c r="E275" i="1" s="1"/>
  <c r="E382" i="1" s="1"/>
  <c r="F281" i="1"/>
  <c r="J281" i="1"/>
  <c r="J276" i="1"/>
  <c r="D299" i="1"/>
  <c r="E311" i="1"/>
  <c r="E313" i="1" s="1"/>
  <c r="F310" i="1"/>
  <c r="F311" i="1" s="1"/>
  <c r="F313" i="1" s="1"/>
  <c r="D368" i="1"/>
  <c r="D370" i="1" s="1"/>
  <c r="D394" i="1" s="1"/>
  <c r="E319" i="1"/>
  <c r="E368" i="1" s="1"/>
  <c r="G368" i="1"/>
  <c r="G370" i="1" s="1"/>
  <c r="F369" i="1"/>
  <c r="F375" i="1"/>
  <c r="I206" i="1"/>
  <c r="J381" i="1"/>
  <c r="J386" i="1" s="1"/>
  <c r="E87" i="1"/>
  <c r="E206" i="1" s="1"/>
  <c r="F101" i="1"/>
  <c r="F167" i="1" s="1"/>
  <c r="F139" i="1"/>
  <c r="F205" i="1"/>
  <c r="D205" i="1"/>
  <c r="E174" i="1"/>
  <c r="E205" i="1" s="1"/>
  <c r="F183" i="1"/>
  <c r="N209" i="1"/>
  <c r="Q209" i="1"/>
  <c r="I209" i="1"/>
  <c r="I219" i="1"/>
  <c r="G382" i="1"/>
  <c r="F368" i="1"/>
  <c r="F319" i="1"/>
  <c r="F335" i="1"/>
  <c r="I383" i="1"/>
  <c r="D396" i="1"/>
  <c r="I275" i="1"/>
  <c r="I382" i="1" s="1"/>
  <c r="F289" i="1"/>
  <c r="F297" i="1" s="1"/>
  <c r="F299" i="1" l="1"/>
  <c r="F276" i="1"/>
  <c r="F381" i="1"/>
  <c r="E370" i="1"/>
  <c r="E383" i="1" s="1"/>
  <c r="E276" i="1"/>
  <c r="F206" i="1"/>
  <c r="F383" i="1"/>
  <c r="F214" i="1"/>
  <c r="M209" i="1"/>
  <c r="F209" i="1"/>
  <c r="O399" i="1"/>
  <c r="F382" i="1"/>
  <c r="F370" i="1"/>
  <c r="E209" i="1"/>
  <c r="L209" i="1"/>
  <c r="E214" i="1"/>
  <c r="D276" i="1"/>
  <c r="E381" i="1"/>
  <c r="D383" i="1"/>
  <c r="L386" i="1" s="1"/>
  <c r="L398" i="1" s="1"/>
  <c r="G276" i="1"/>
  <c r="H386" i="1"/>
  <c r="Q400" i="1"/>
  <c r="O400" i="1" s="1"/>
  <c r="D206" i="1"/>
  <c r="E386" i="1" l="1"/>
  <c r="Q401" i="1"/>
  <c r="F386" i="1"/>
  <c r="D386" i="1"/>
  <c r="P395" i="1" s="1"/>
  <c r="O401" i="1"/>
  <c r="O402" i="1" s="1"/>
</calcChain>
</file>

<file path=xl/sharedStrings.xml><?xml version="1.0" encoding="utf-8"?>
<sst xmlns="http://schemas.openxmlformats.org/spreadsheetml/2006/main" count="985" uniqueCount="437">
  <si>
    <t>MUNICIPIUL SATU MARE</t>
  </si>
  <si>
    <t>Anexa nr.7</t>
  </si>
  <si>
    <t>Lista creditelor de angajament și Programul multianual de investiții pe anii  2026, 2027, 2028 și 2029 aferentă obiectivelor de investiţii aprobate în 
Secţiunea de dezvoltare a bugetului local finanţate din surse proprii şi din fonduri externe nearambursabile 2025</t>
  </si>
  <si>
    <t>2025</t>
  </si>
  <si>
    <t>DENUMIRE ACHIZITIE / OBIECTIV</t>
  </si>
  <si>
    <t>Sursa Finantare (02 Buget Local )</t>
  </si>
  <si>
    <t>Capitol bugetar</t>
  </si>
  <si>
    <t>Credite bugetare 2025</t>
  </si>
  <si>
    <t>Credite angajament pe anul 2025</t>
  </si>
  <si>
    <t>Credite angajament 
total</t>
  </si>
  <si>
    <t>PROGRAM 2026</t>
  </si>
  <si>
    <t>PROGRAM 2027</t>
  </si>
  <si>
    <t>PROGRAM 2028</t>
  </si>
  <si>
    <t>PROGRAM 2029</t>
  </si>
  <si>
    <t>Cap. 51.02 Autorităţi publice şi acţiuni externe</t>
  </si>
  <si>
    <t>Echipamente și aplicații informatice</t>
  </si>
  <si>
    <t>02</t>
  </si>
  <si>
    <t>51/71</t>
  </si>
  <si>
    <t>Licențe aplicații software proiectare asistată</t>
  </si>
  <si>
    <t>Licență aplicatie Deviz profesional</t>
  </si>
  <si>
    <t>Licențe sistem de operare server</t>
  </si>
  <si>
    <t>Modul raportări CC și facturare</t>
  </si>
  <si>
    <t>Total 51/71</t>
  </si>
  <si>
    <t>Cap. 54.02 Alte servicii publice generale</t>
  </si>
  <si>
    <t>54/71</t>
  </si>
  <si>
    <t>Total 54/71</t>
  </si>
  <si>
    <t>Cap. 61.02  Ordine publică şi siguranţă naţională</t>
  </si>
  <si>
    <t>Total 61/71</t>
  </si>
  <si>
    <t>Cap. 65.02 "Învățământ "</t>
  </si>
  <si>
    <t>Servicii de dirigenţie de şantier pentru Reabilitare și extindere pe verticală Corp ”B” D+P+2(parțial) la Școala Gimnazială "Constantin Brâncoveanu”</t>
  </si>
  <si>
    <t>65/71</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</si>
  <si>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</si>
  <si>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</si>
  <si>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PT Extindere unitate de învățământ corp P+2 (parțial) Școala Gimnazială Grigore Moisil</t>
  </si>
  <si>
    <t>Extindere unitate de învățământ corp P+2 (parțial) Școala Gimnazială Grigore Moisil</t>
  </si>
  <si>
    <t xml:space="preserve"> Servicii de dirigenţie de şantier pentru Extindere unitate de învățământ corp P+2 (parțial) Școala Gimnazială Grigore Moisil</t>
  </si>
  <si>
    <t>Asistenţă tehnică din partea proiectantului pentru Extindere unitate de învățământ corp P+2 (parțial) Școala Gimnazială Grigore Moisil</t>
  </si>
  <si>
    <t xml:space="preserve">SF Transformarea Liceul Teoretic German JOHANN ETTINGER in clădire NZEB </t>
  </si>
  <si>
    <t>SF Extindere școala Lucian Blaga</t>
  </si>
  <si>
    <t>PT Lucrări de intervenție privind implementarea măsurilor de eficiență energetică la Grădinița nr. 11</t>
  </si>
  <si>
    <t xml:space="preserve"> Lucrări de intervenție privind implementarea măsurilor de eficiență energetică la Grădinița nr. 11</t>
  </si>
  <si>
    <t xml:space="preserve"> Servicii de dirigenţie de şantier pentru Lucrări de intervenție privind implementarea măsurilor de eficiență energetică la Grădinița nr. 11</t>
  </si>
  <si>
    <t>Asistenţă tehnică din partea proiectantului pentru Lucrări de intervenție privind implementarea măsurilor de eficiență energetică la Grădinița nr. 11</t>
  </si>
  <si>
    <t>SF Construire Sală de Sport la colegiul Economic Gheorghe Dragoș Satu Mare</t>
  </si>
  <si>
    <t>DALI Reabilitare clădire situată pe b-dul Vasile Lucaciu, nr.1 (Colegiul tehnic de Transport și Telecomunicații I.I.C. Brătianu)”</t>
  </si>
  <si>
    <t>Taxe și avize pentru obiectivul de investiții Proiect Tip - Construire și dotare creșă mare strada Iuliu Coroianu nr.46</t>
  </si>
  <si>
    <t>Taxă de racordare - Alimentare cu energie electrică Proiect Tip - Construire și dotare creșă mare strada Iuliu Coroianu nr.46</t>
  </si>
  <si>
    <t>DALI Teren multifuncțional de sport la Școala Gimnazială Lucian Blaga din Municipiul Satu Mare, județul Satu Mare</t>
  </si>
  <si>
    <t>Teren multifuncțional de sport la Școala Gimnazială Lucian Blaga din Municipiul Satu Mare, județul Satu Mare</t>
  </si>
  <si>
    <t>Lucrări de investiții la Colegiul Național ”Doamna Stanca”din municipiul Satu Mare - dotare</t>
  </si>
  <si>
    <t>Aparat aer condiționat la Grădinița cu program prelungit nr.5</t>
  </si>
  <si>
    <t>Centrala termică Grădinița cu program prelungit ”Guliver”, clădirea SAMUS</t>
  </si>
  <si>
    <t>Centrala termică Grădinița cu program prelungit nr.7, corp A și B, strada Vasile Lucaciu</t>
  </si>
  <si>
    <t>Sistem de supraveghere video la Școala Gimnazială ”dr.Vasile Lucaciu”</t>
  </si>
  <si>
    <t>Sistem centralizat de supraveghere video la Colegiul Național ”Ioan Slavici”</t>
  </si>
  <si>
    <t>Lucrări de instalare de uși și ferestre</t>
  </si>
  <si>
    <t>Achiziție teren situat în Satu Mare Str. Ana Ipătescu</t>
  </si>
  <si>
    <t>SF Revitalizarea structurii educaționale și sociale la școala generală nr. 11 Sătmărel</t>
  </si>
  <si>
    <t>TOTAL 65/71</t>
  </si>
  <si>
    <t>Cap. 66.02 "Sănătate"</t>
  </si>
  <si>
    <t>Aparatură stomatologică la Liceul Kolcsey Ferenc</t>
  </si>
  <si>
    <t>66/71</t>
  </si>
  <si>
    <t>TOTAL 66/71</t>
  </si>
  <si>
    <t>Cap 67.02 "Cultură , recreere și religie”</t>
  </si>
  <si>
    <t>SF Amenajare pădure urbană Noroieni</t>
  </si>
  <si>
    <t>67/71</t>
  </si>
  <si>
    <t>SF PUZ Amenajare pădure urbană Noroieni</t>
  </si>
  <si>
    <t>SF Reconversia și refuncționalizarea terenurilor degradate și neutilizate situate pe malurile Someșului</t>
  </si>
  <si>
    <t>SF PUZ Reconversia și refuncționalizarea terenurilor degradate și neutilizate situate pe malurile Someșului- MAL STÂNG</t>
  </si>
  <si>
    <t>SF Actualizarea Registrului local al spațiilor verzi din Municipiul Satu Mare</t>
  </si>
  <si>
    <t>DALI Modernizare și extindere stadion Unio</t>
  </si>
  <si>
    <t>PT Modernizare și extindere stadion Unio</t>
  </si>
  <si>
    <t>Modernizare și extindere stadion Unio</t>
  </si>
  <si>
    <t>Servicii de dirigenţie de şantier pentru Modernizare și extindere stadion Unio</t>
  </si>
  <si>
    <t>Asistenţă tehnică din partea proiectantului pentru Modernizare și extindere stadion Unio</t>
  </si>
  <si>
    <t>Asistenţă tehnică din partea proiectantului pentru Modernizare construcție existentă situată pe B-dul Muncii nr. 44, Municipiul Satu Mare</t>
  </si>
  <si>
    <t>Modernizare construcție existentă situată pe B-dul Muncii nr. 44, Municipiul Satu Mare</t>
  </si>
  <si>
    <t>Servicii de dirigenţie de şantier pentru Modernizare construcție existentă situată pe B-dul Muncii nr. 44, Municipiul Satu Mare</t>
  </si>
  <si>
    <t xml:space="preserve">PT Implementarea măsurilor de eficienţă energetică la Sala de Scrimă “Alexandru Csipler” </t>
  </si>
  <si>
    <t xml:space="preserve">Implementarea măsurilor de eficienţă energetică la Sala de Scrimă “Alexandru Csipler” </t>
  </si>
  <si>
    <t xml:space="preserve">Asistenţă tehnică din partea proiectantului pentru Implementarea măsurilor de eficienţă energetică la Sala de Scrimă “Alexandru Csipler” </t>
  </si>
  <si>
    <t xml:space="preserve">Servicii de dirigenţie de şantier pentru Implementarea măsurilor de eficienţă energetică la Sala de Scrimă “Alexandru Csipler” </t>
  </si>
  <si>
    <t>Reabilitarea clădirii Hotel Sport, situată pe strada Mileniului, nr.25</t>
  </si>
  <si>
    <t>Asistenţă tehnică din partea proiectantului pentru Reabilitarea clădirii Hotel Sport, situată pe strada Mileniului, nr.25</t>
  </si>
  <si>
    <t>Servicii de supervizare pentru Reabilitarea clădirii Hotel Sport, situată pe strada Mileniului, nr.25</t>
  </si>
  <si>
    <t>SF Studiu de energie electrică pentru regenerarea urbană</t>
  </si>
  <si>
    <t>SF Studiu de coexistență pentru investiții privind mobilitatea urbană</t>
  </si>
  <si>
    <t>SF Lucrări tehnico-edilitare pentru Bazin de înot didactic și agrement</t>
  </si>
  <si>
    <t>Expropriere teren pentru Lucrări tehnico-edilitare pentru Bazin de înot didactic și agrement</t>
  </si>
  <si>
    <t>Furnizare echipamente de irigare pentru Scuar Odobescu și ronduri florale Casa de Modă din municipiul Satu Mare</t>
  </si>
  <si>
    <t>Achiziție ecran led la Stadionul Olimpia ''Daniel Prodan,,</t>
  </si>
  <si>
    <t>SF Pista de alergare</t>
  </si>
  <si>
    <t>Total 67/71</t>
  </si>
  <si>
    <t>Cap.68.02 "Asigurări și asistență socială"</t>
  </si>
  <si>
    <t>PT Reabilitare bloc de locuințe sociale pe strada Ostrovului nr.2/CD</t>
  </si>
  <si>
    <t>68/71</t>
  </si>
  <si>
    <t>Reabilitare bloc de locuințe sociale pe strada Ostrovului nr.2/CD</t>
  </si>
  <si>
    <t>TOTAL 68/71</t>
  </si>
  <si>
    <t>Cap. 70.02 "Locuințe, servicii si dezvoltare publică'</t>
  </si>
  <si>
    <t>Parcare etajată S+P+2 pe strada Mihail Kogălniceanu nr.5</t>
  </si>
  <si>
    <t>70/71</t>
  </si>
  <si>
    <t>PT Parcare etajată S+P+2 pe strada Mihail Kogălniceanu nr.5</t>
  </si>
  <si>
    <t>Servicii de supervizare pentru Parcare etajată S+P+2 pe strada Mihail Kogălniceanu nr.5</t>
  </si>
  <si>
    <t>Asistenţă tehnică din partea proiectantului pentru Parcare etajată S+P+2 pe strada Mihail Kogălniceanu nr.5</t>
  </si>
  <si>
    <t>Parcare etajată S+P+4 pe strada Decebal</t>
  </si>
  <si>
    <t>PT Parcare etajată S+P+4 pe strada Decebal</t>
  </si>
  <si>
    <t>Servicii de supervizare pentru Parcare etajată S+P+4 pe strada Decebal</t>
  </si>
  <si>
    <t>Asistenţă tehnică din partea proiectantului pentru Parcare etajată S+P+4 pe strada Decebal</t>
  </si>
  <si>
    <t>PT Extinderea iluminatului public pe strada Lazarului</t>
  </si>
  <si>
    <t>Extinderea iluminatului public pe strada Lazarului</t>
  </si>
  <si>
    <t>Asistenţă tehnică din partea proiectantului pentru Extinderea iluminatului public pe strada Lazarului</t>
  </si>
  <si>
    <t>SF Strategie Integrată de Dezvoltare Urbană 2021-2031</t>
  </si>
  <si>
    <t>PT Extinderea iluminatului public pe strada Sighișoara, nr. 35C</t>
  </si>
  <si>
    <t>Extinderea iluminatului public pe strada Sighișoara, nr. 35C</t>
  </si>
  <si>
    <t>Asistenţă tehnică din partea proiectantului pentru Extinderea iluminatului public pe strada Sighișoara, nr. 35C</t>
  </si>
  <si>
    <t>Extinderea iluminatului public în cvartalul b-dul Lucian Blaga - Al.Russo - Fântânele - Ambudului</t>
  </si>
  <si>
    <t>PT Extinderea iluminatului public în cvartalul b-dul Lucian Blaga - Al.Russo - Fântânele - Ambudului</t>
  </si>
  <si>
    <t>Asistenţă tehnică din partea proiectantului pentru Extinderea iluminatului public în cvartalul b-dul Lucian Blaga - Al.Russo - Fântânele - Ambudului</t>
  </si>
  <si>
    <t>PT Extinderea iluminatului public pe strada Ulmului</t>
  </si>
  <si>
    <t>Extinderea iluminatului public pe strada Ulmului</t>
  </si>
  <si>
    <t>Asistenţă tehnică din partea proiectantului pentru Extinderea iluminatului public pe strada Ulmului</t>
  </si>
  <si>
    <t xml:space="preserve">PT Reabilitare conductă de aducțiune apă </t>
  </si>
  <si>
    <t xml:space="preserve">Reabilitare conductă de aducțiune apă </t>
  </si>
  <si>
    <t xml:space="preserve">Servicii de dirigenție de șantier pentru Reabilitare conductă de aducțiune apă </t>
  </si>
  <si>
    <t xml:space="preserve">Asistenţă tehnică din partea proiectantului pentru Reabilitare conductă de aducțiune apă </t>
  </si>
  <si>
    <t>Extinderea iluminatului public pe strada Hermann Mihaly</t>
  </si>
  <si>
    <t>PT Extinderea iluminatului public pe strada Hermann Mihaly</t>
  </si>
  <si>
    <t>Asistenţă tehnică din partea proiectantului pentru Extinderea iluminatului public pe strada Hermann Mihaly</t>
  </si>
  <si>
    <t>Extinderea iluminatului public pe strada Ștefan Benea</t>
  </si>
  <si>
    <t>PT Extinderea iluminatului public pe strada Ștefan Benea</t>
  </si>
  <si>
    <t>Asistenţă tehnică din partea proiectantului pentru Extinderea iluminatului public pe strada Ștefan Benea</t>
  </si>
  <si>
    <t>Extindere iluminat public pe strada Ferma Sătmărel, nr.36A - 36P</t>
  </si>
  <si>
    <t>PT Extindere iluminat public pe strada Ferma Sătmărel, nr.36A - 36P</t>
  </si>
  <si>
    <t>Asistenţă tehnică din partea proiectantului pentru  Extindere iluminat public pe strada Ferma Sătmărel, nr.36A - 36P</t>
  </si>
  <si>
    <t>PT Bazin de retenție ape pluviale la SPAU Fabricii</t>
  </si>
  <si>
    <t>Bazin de retenție ape pluviale la SPAU Fabricii</t>
  </si>
  <si>
    <t>Asistenţă tehnică din partea proiectantului pentru Bazin de retenție ape pluviale la SPAU Fabricii</t>
  </si>
  <si>
    <t>Servicii de dirigenţie de şantier pentru Bazin de retenție ape pluviale la SPAU Fabricii</t>
  </si>
  <si>
    <t xml:space="preserve">SF Servicii de consultanță de specialitate pentru accesarea de fonduri nerambursabile și managementul contractului de finanțare și al proiectului pentru „Creșterea eficienței energetice și a gestionării inteligente a energiei în infrastructura sistemului de iluminat public în municipiul Satu Mare, zona de SUD, jud. Satu Mare”
</t>
  </si>
  <si>
    <t>Dotări Creșterea eficienței energetice și a gestionării inteligente a energiei în infrastructura sistemului de iluminat public a Municipiului Satu Mare, zona de SUD, jud.Satu Mare</t>
  </si>
  <si>
    <t>Asistenţă tehnică din partea proiectantului pentru Creșterea eficienței energetice și a gestionării inteligente a energiei în infrastructura sistemului de iluminat public a Municipiului Satu Mare, zona de SUD, jud.Satu Mare</t>
  </si>
  <si>
    <t>Servicii privind auditul energetic și luminotehnic pentru obiectivul ,,Creșterea eficienției energetice și a gestionării inteligente a energiei în infrastructura de iluminat public a municipiului Satu Mare, zona Sud,,</t>
  </si>
  <si>
    <t xml:space="preserve"> Iluminat ornamental pentru lăcașurile de cult din Municipiul Satu Mare</t>
  </si>
  <si>
    <t>Asistenţă tehnică din partea proiectantului pentru Iluminat ornamental pentru lăcașurile de cult din Municipiul Satu Mare</t>
  </si>
  <si>
    <t>Reabilitare fațade și acoperiș la imobilul situat pe strada Horea nr.6</t>
  </si>
  <si>
    <t>Asistenţă tehnică din partea proiectantului pentru Reabilitare fațade și acoperiș la imobilul situat pe strada Horea nr.6</t>
  </si>
  <si>
    <t>Servicii de dirigenţie de şantier pentru Reabilitare fațade și acoperiș la imobilul situat pe strada Horea nr.6</t>
  </si>
  <si>
    <t>Parcometru stradal</t>
  </si>
  <si>
    <t>Alimentare cont IID</t>
  </si>
  <si>
    <t>PT Extinderea iluminatului public în jurul Grădiniței nr.9</t>
  </si>
  <si>
    <t>Extinderea iluminatului public în jurul Grădiniței nr.9</t>
  </si>
  <si>
    <t>Asistenţă tehnică din partea proiectantului pentru Extinderea iluminatului public în jurul Grădiniței nr.9</t>
  </si>
  <si>
    <t>PT Extinderea iluminatului public în cvartalul blocului UU 1- UU 13 din Piața Soarelui</t>
  </si>
  <si>
    <t>Extinderea iluminatului public în cvartalul blocului UU 1- UU 13 din Piața Soarelui</t>
  </si>
  <si>
    <t>Asistenţă tehnică din partea proiectantului pentru Extinderea iluminatului public în cvartalul blocului UU 1- UU 13 din Piața Soarelui</t>
  </si>
  <si>
    <t>Extindere locuri de joacă cu echipamente de joacă noi</t>
  </si>
  <si>
    <t>Produse promoționale</t>
  </si>
  <si>
    <t>SF Servicii de consultanţă de specialitate pentru accesarea de fonduri nerambursabile pentru „Cresterea eficienţei energetice si a gestionării inteligente a energiei în infrastructura sistemului de iluminat public a Municipiului Satu Mare, zone nemodernizate, jud. Satu Mare”</t>
  </si>
  <si>
    <t xml:space="preserve">SF Studiu privind exproprierea imobilelor situate pe str. Horea nr. 6 în vederea amenajării sediului Primăriei </t>
  </si>
  <si>
    <t>Transformator 800kVA amplasat pe Str. Gara Ferăstrău</t>
  </si>
  <si>
    <t>Amplasarea stațiilor de încărcare și realizarea instalației de racordare aferentă pe Str. Gara Ferăstrău, nr.9, loc. Satu Mare- Taxă de racordare - Alimentare cu energie electrică stații de încărcare autobuze electrice - Instalație de utilizare</t>
  </si>
  <si>
    <t>Asistenţă tehnică din partea proiectantului pentru Centrul multifuncțional de servicii publice strada Porumbeilor nr.1</t>
  </si>
  <si>
    <t>Amplasare stație de încărcare rapidă și alimentare cu energie electrică pe Str. Ion Ghica- colț Lazarului - Taxă de racordare</t>
  </si>
  <si>
    <t>Amplasare stație de încărcare rapidă și alimentare cu energie electrică în Parc Industrial Sud- Taxă de racordare</t>
  </si>
  <si>
    <t>Amplasare stație de încărcare rapidă și alimentare cu energie electrică pe Str. Ion Vidu - Taxă de racordare</t>
  </si>
  <si>
    <t>DALI Modernizarea infrastructurii iluminatului public pe B-dul Lucian Blaga</t>
  </si>
  <si>
    <t>PT Modernizarea infrastructurii iluminatului public pe B-dul Lucian Blaga</t>
  </si>
  <si>
    <t>Modernizarea infrastructurii iluminatului public pe B-dul Lucian Blaga</t>
  </si>
  <si>
    <t>Asistenţă tehnică din partea proiectantului pentru Modernizarea infrastructurii iluminatului public pe B-dul Lucian Blaga</t>
  </si>
  <si>
    <t>SF Servicii de expertizare tehnică la rezistență pentru Casa Meșteșugarilor</t>
  </si>
  <si>
    <t>Sistem de alarmare la efracție pentru Casa Meșteșugarilor</t>
  </si>
  <si>
    <t>Sistem de supraveghere video pentru Casa Meșteșugarilor</t>
  </si>
  <si>
    <t>Expropriere imobile situate pe strada Horea nr.6</t>
  </si>
  <si>
    <t>TOTAL 70/71</t>
  </si>
  <si>
    <t>Cap 84.02 "Transporturi"</t>
  </si>
  <si>
    <t>Modernizare pasaje pietonale care fac legătura între centru nou și digul de pe malul drept al râului Someș din municipiul Satu Mare</t>
  </si>
  <si>
    <t>84/71</t>
  </si>
  <si>
    <t>PT Modernizare pasaje pietonale care fac legătura între centru nou și digul de pe malul drept al râului Someș din municipiul Satu Mare</t>
  </si>
  <si>
    <t>Asistenţă tehnică din partea proiectantului pentru Modernizare pasaje pietonale care fac legătura între centru nou și digul de pe malul drept al râului Someș</t>
  </si>
  <si>
    <t>PT Servicii de proiectare pentru lucrări de arhitectură și iluminate pentru pasaje pietonale care fac legătura între Centrul Nou și digul de pe Malul Drept al râului Someș din municipiul Satu Mare</t>
  </si>
  <si>
    <t>Pod peste râul Someș - Amplasament str. Ștrandului</t>
  </si>
  <si>
    <t>Servicii de supervizare lucrari pentru Pod peste râul Someş - amplasament str. Ştrandului</t>
  </si>
  <si>
    <t>*</t>
  </si>
  <si>
    <t>Asistență tehnică din partea proiectantului pentru Pod peste râul Someș - Amplasament str. Ștrandului</t>
  </si>
  <si>
    <t xml:space="preserve">Modernizare strada Grădinarilor </t>
  </si>
  <si>
    <t xml:space="preserve">Servicii de dirigenţie de şantier pentru Modernizare strada Grădinarilor </t>
  </si>
  <si>
    <t xml:space="preserve">Asistenţă tehnică din partea proiectantului pentru Modernizare strada Grădinarilor </t>
  </si>
  <si>
    <t xml:space="preserve">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</si>
  <si>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</si>
  <si>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</si>
  <si>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Modernizare străzi în municipiul Satu Mare Lot 2</t>
  </si>
  <si>
    <t>Servicii de dirigenţie de şantier pentru Modernizare străzi în municipiul Satu Mare Lot 2</t>
  </si>
  <si>
    <t>Asistenţă tehnică din partea proiectantului pentru Modernizare străzi în municipiul Satu Mare Lot 2</t>
  </si>
  <si>
    <t>PT Modernizare strada Stupilor</t>
  </si>
  <si>
    <t>Modernizare strada Stupilor</t>
  </si>
  <si>
    <t>Asistenţă tehnică din partea proiectantului pentru Modernizare strada Stupilor</t>
  </si>
  <si>
    <t>Servicii de dirigenţie de şantier pentru Modernizare strada Stupilor</t>
  </si>
  <si>
    <t>PT Managementul traficului transportului public și rutier - componentele : stații de autobuz și intersecții</t>
  </si>
  <si>
    <t>SF Pasarelă pietonală și velo peste râul Someș, Cartierul Funcționarilor - Micro16</t>
  </si>
  <si>
    <t>Servicii de urbanism PUZ pentru  obiectivul de investiție Pasarelă pietonală și velo peste râul Someș, cartierul funcționarilor-Micro16</t>
  </si>
  <si>
    <t>Proiect tehnic și detalii de execuție pentru Pasarelă pietonală și velo peste râul Someș, Cartierul Funcționarilor - Micro16</t>
  </si>
  <si>
    <t>04</t>
  </si>
  <si>
    <t>SF Pasarelă pietonală și velo intersecția Burdea</t>
  </si>
  <si>
    <t>SF Modernizare strada Ulmului</t>
  </si>
  <si>
    <t>SF Modernizare strada Vasile Scurtu</t>
  </si>
  <si>
    <t xml:space="preserve">Achiziție Semaforizare intersecție în ''T" în Municipiul Satu Mare, Bulevardul Independenței și Str. Ion Vidu, prevăzută cu butoane pentru cerere de verde pietoni </t>
  </si>
  <si>
    <t>SF Modernizare Strada Ion Popdan</t>
  </si>
  <si>
    <t>PT Modernizare Drumul Luncii, Petalelor, Vinului și Afinelor în municipiul Satu Mare</t>
  </si>
  <si>
    <t>Modernizare Drumul Luncii, Petalelor, Vinului și Afinelor în municipiul Satu Mare</t>
  </si>
  <si>
    <t>SF 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</si>
  <si>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DALI Lucrări de arhitectură la pasarelele pietonale peste b-dul Transilvania</t>
  </si>
  <si>
    <t>DALI Modernizare strada Castanilor și strada Cireșilor</t>
  </si>
  <si>
    <t>SF Modernizare străzi Karoly Gaspar tronson 3</t>
  </si>
  <si>
    <t>SF Modernizare Strada Litteczky Endre</t>
  </si>
  <si>
    <t>TOTAL 84/71</t>
  </si>
  <si>
    <t>TOTAL CHELTUIELI CAPITAL 2025</t>
  </si>
  <si>
    <t xml:space="preserve">Transferuri de capital </t>
  </si>
  <si>
    <t xml:space="preserve">Proiecte cu finanțare din fonduri externe nerambursabile aferente cadrului financiar 2021-2027, ( investitii)  </t>
  </si>
  <si>
    <t>Cap. 51.02 " Autoritati publice si actiuni externe"</t>
  </si>
  <si>
    <t>51/58</t>
  </si>
  <si>
    <t>TOTAL 51/58 - investitii</t>
  </si>
  <si>
    <t xml:space="preserve"> Total - 51/56 - cheltuieli curente </t>
  </si>
  <si>
    <t>Total 51/58</t>
  </si>
  <si>
    <t>Cap. 61.02  ”Ordine publică şi siguranţă naţională”</t>
  </si>
  <si>
    <t>TOTAL 61/56 - investitii</t>
  </si>
  <si>
    <t xml:space="preserve"> Total - 61/56 - cheltuieli curente </t>
  </si>
  <si>
    <t>Total 61/58</t>
  </si>
  <si>
    <t>Cap. 65.02 " Invatamant "</t>
  </si>
  <si>
    <t xml:space="preserve">Dotari in cadrul proiectului "Stagii de practica performante pentru profesionistii de maine" la Colegiului Economic ”Gheorghe Dragoș” </t>
  </si>
  <si>
    <t>65/58</t>
  </si>
  <si>
    <t>Transformarea LICEULUI TEORETIC GERMAN JOHANN ETTINGER în clădire NZEB</t>
  </si>
  <si>
    <t>PT Transformarea LICEULUI TEORETIC GERMAN JOHANN ETTINGER în clădire NZEB</t>
  </si>
  <si>
    <t>Asistenţă tehnică din partea proiectantului pentru Transformarea LICEULUI TEORETIC GERMAN JOHANN ETTINGER în clădire NZEB</t>
  </si>
  <si>
    <t>Servicii de dirigenţie de şantier pentru Transformarea LICEULUI TEORETIC GERMAN JOHANN ETTINGER în clădire NZEB</t>
  </si>
  <si>
    <t>Experți elvețieni și parteneri pentru Transformarea LICEULUI TEORETIC GERMAN JOHANN ETTINGER în clădire NZEB</t>
  </si>
  <si>
    <t>TOTAL 65/56 - investiții</t>
  </si>
  <si>
    <t xml:space="preserve"> Total - 65/56 - cheltuieli curente </t>
  </si>
  <si>
    <t>Total Cap. 65 - FEN</t>
  </si>
  <si>
    <t>Cap. 67 Cultură, recreere şi religie</t>
  </si>
  <si>
    <t>Transformarea zonei degradate malurile Someșului între cele 2 poduri în zonă de petrecere a timpului liber pentru comunitate</t>
  </si>
  <si>
    <t>67/56</t>
  </si>
  <si>
    <t>Servicii de dirigenţie de şantier pentru Transformarea zonei degradate malurile Someșului între cele 2 poduri în zonă de petrecere a timpului liber pentru comunitate</t>
  </si>
  <si>
    <t>Asistenţă tehnică din partea proiectantului pentru Transformarea zonei degradate malurile Someșului între cele 2 poduri în zonă de petrecere a timpului liber pentru comunitate</t>
  </si>
  <si>
    <t xml:space="preserve">Reabilitarea parcului Vasile Lucaciu </t>
  </si>
  <si>
    <t xml:space="preserve">Servicii de dirigenţie de şantier pentru Reabilitarea parcului Vasile Lucaciu </t>
  </si>
  <si>
    <t xml:space="preserve">Asistenţă tehnică din partea proiectantului pentru Reabilitarea parcului Vasile Lucaciu </t>
  </si>
  <si>
    <t>PT Amenajare pistă de biciclete pe strada Botizului - Pod Golescu</t>
  </si>
  <si>
    <t>Strengthening intercultural relations through the development of cultural institutions in Szatmar County and Szabolcs-Szatmar-Bereg County</t>
  </si>
  <si>
    <t>PT Strengthening intercultural relations through the development of cultural institutions in Szatmar County and Szabolcs-Szatmar-Bereg County</t>
  </si>
  <si>
    <t>Dotari de specialitate la proiectul Strengthening intercultural relations through the development of cultural institutions in Szatmar County and Szabolcs-Szatmar-Bereg County</t>
  </si>
  <si>
    <t>Servicii de dirigenţie de şantier pentru Strengthening intercultural relations through the development of cultural institutions in Szatmar County and Szabolcs-Szatmar-Bereg County</t>
  </si>
  <si>
    <t>Asistenţă tehnică din partea proiectantului pentru Strengthening intercultural relations through the development of cultural institutions in Szatmar County and Szabolcs-Szatmar-Bereg County</t>
  </si>
  <si>
    <t>Regenerare urbană în zona cartierului Micro 15</t>
  </si>
  <si>
    <t>Servicii de dirigenţie de şantier pentru Regenerare urbană în zona cartierului Micro 15</t>
  </si>
  <si>
    <t>Asistenţă tehnică din partea proiectantului pentru Regenerare urbană în zona cartierului MICRO 15</t>
  </si>
  <si>
    <t xml:space="preserve">TOTAL 67 - investiții </t>
  </si>
  <si>
    <t>Total 67 - cheltuieli curente</t>
  </si>
  <si>
    <t>Total Cap 67 - proiecte FEN</t>
  </si>
  <si>
    <t>Cap 68 Asigurări şi Asistenţă socială</t>
  </si>
  <si>
    <t xml:space="preserve">TOTAL 68/56 - investitii </t>
  </si>
  <si>
    <t>Total 68/56 - cheltuieli curente</t>
  </si>
  <si>
    <t>Total Cap 68 - proiecte FEN</t>
  </si>
  <si>
    <t>Cap. 70  Locuinţe, servicii şi dezvoltare publică</t>
  </si>
  <si>
    <t>Cofinanțare Proiect regional de dezvoltare a infrastructurii de apă și apă uzată din județul Satu Mare</t>
  </si>
  <si>
    <t>70/56</t>
  </si>
  <si>
    <t>TOTAL 70/56  - investiții</t>
  </si>
  <si>
    <t>Total 70 FEN - cheltuieli curente</t>
  </si>
  <si>
    <t>Total general  70 FEN</t>
  </si>
  <si>
    <t>Cap. 74.02 "Protecția Mediului'</t>
  </si>
  <si>
    <t>Total 74/56 - cheltuieli curente</t>
  </si>
  <si>
    <t>TOTAL 74/58</t>
  </si>
  <si>
    <t>Cap. 84 Transporturi</t>
  </si>
  <si>
    <t xml:space="preserve"> Pasarela pietonală și velo intersecția Crinul</t>
  </si>
  <si>
    <t>84/56</t>
  </si>
  <si>
    <t>PT Pasarela pietonală și velo intersecția Crinul</t>
  </si>
  <si>
    <t>Diriginte santier  Pasarela pietonală și velo intersecția Crinul</t>
  </si>
  <si>
    <t>Asistenta tehnica  Pasarela pietonală și velo intersecția Crinul</t>
  </si>
  <si>
    <t>Servicii de suport tehnic pentru Pasarela pietonală și velo intersecția Crinul</t>
  </si>
  <si>
    <t>PT Sistem integrat de monitorizare a traficului și mobilitate inteligență în Municipiul Satu Mare</t>
  </si>
  <si>
    <t>Sistem integrat de monitorizare a traficului și mobilitate inteligență în Municipiul Satu Mare</t>
  </si>
  <si>
    <t>Asistenţă tehnică din partea proiectantului pentru Sistem integrat de monitorizare a traficului și mobilitate inteligență în Municipiul Satu Mare</t>
  </si>
  <si>
    <t>Servicii de dirigenţie de şantier pentru Sistem integrat de monitorizare a traficului și mobilitate inteligență în Municipiul Satu Mare</t>
  </si>
  <si>
    <t xml:space="preserve">TOTAL 84/56 - investitii </t>
  </si>
  <si>
    <t>curente   FEN</t>
  </si>
  <si>
    <t>Total 84/56 - cheltuieli curente</t>
  </si>
  <si>
    <t>Total Cap 84 - proiecte FEN</t>
  </si>
  <si>
    <t>Proiecte cu finanțare din sumele reprezentând asistența financiară nerambursabilă aferentă PNRR pe anul 2025</t>
  </si>
  <si>
    <t xml:space="preserve">TOTAL 61/58 - investitii </t>
  </si>
  <si>
    <t>Total 61/58 - cheltuieli curente</t>
  </si>
  <si>
    <t>Total Cap 61 -  proiecte PNRR</t>
  </si>
  <si>
    <t>Cap. 65.02 " Învățământ "</t>
  </si>
  <si>
    <t>Implementarea măsurilor de eficiență energetică la sala de sport al Școlii gimnaziale Bălcescu Petofi</t>
  </si>
  <si>
    <t>65/61</t>
  </si>
  <si>
    <t>PT Implementarea măsurilor de eficiență energetică la sala de sport al Școlii gimnaziale Bălcescu Petofi</t>
  </si>
  <si>
    <t>curente  65 PNRR</t>
  </si>
  <si>
    <t>60.01</t>
  </si>
  <si>
    <t>Servicii de dirigenţie de şantier pentru Implementarea măsurilor de eficiență energetică la sala de sport al Școlii gimnaziale Bălcescu Petofi</t>
  </si>
  <si>
    <t>61.01</t>
  </si>
  <si>
    <t>Asistenţă tehnică din partea proiectantului pentru Implementarea măsurilor de eficiență energetică la sala de sport al Școlii gimnaziale Bălcescu Petofi</t>
  </si>
  <si>
    <t xml:space="preserve">SF Renovarea energetică a Liceului cu Program Sportiv </t>
  </si>
  <si>
    <t>dotari 65 PNRR</t>
  </si>
  <si>
    <t>PT Renovarea energetică a Liceului cu Program Sportiv</t>
  </si>
  <si>
    <t>Renovarea energetică a Liceului cu Program Sportiv</t>
  </si>
  <si>
    <t>Servicii de dirigenţie de şantier pentru  Renovarea energetică a Liceului cu Program Sportiv</t>
  </si>
  <si>
    <t>Asistenţă tehnică din partea proiectantului pentru Renovarea energetică a Liceului cu Program Sportiv</t>
  </si>
  <si>
    <t>Implementarea măsurilor de eficiență energetică la Școala gimnazială Octavian Goga</t>
  </si>
  <si>
    <t>PT Implementarea măsurilor de eficiență energetică la Școala gimnazială Octavian Goga</t>
  </si>
  <si>
    <t>Servicii de dirigenţie de şantier pentru Implementarea măsurilor de eficiență energetică la Școala gimnazială Octavian Goga</t>
  </si>
  <si>
    <t>Asistenţă tehnică din partea proiectantului pentru Implementarea măsurilor de eficiență energetică la Școala gimnazială Octavian Goga</t>
  </si>
  <si>
    <t>Dotari de specialitate la proiectul Modernizarea infrastructurii educaționale în unitățile de învățământ din municipiul Satu Mare</t>
  </si>
  <si>
    <t>65/61/60</t>
  </si>
  <si>
    <t xml:space="preserve">TOTAL 65/61 - investitii </t>
  </si>
  <si>
    <t>Total 65/61 - cheltuieli curente</t>
  </si>
  <si>
    <t>Total Cap 65 -  proiecte PNRR</t>
  </si>
  <si>
    <t>PT Pista de biciclete pe coronamentul digului mal drept al râului Someș de la stația de epurare până la limita administrativă a Municipilui Satu Mare spre comuna Dara</t>
  </si>
  <si>
    <t>67/60</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</si>
  <si>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</si>
  <si>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</si>
  <si>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</si>
  <si>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PT Muzeul industrializării forțate și al dezrădăcinării Satu Mare</t>
  </si>
  <si>
    <t>Muzeul industrializării forțate și al dezrădăcinării Satu Mare</t>
  </si>
  <si>
    <t>Servicii de dirigenţie de şantier pentru Muzeul industrializării forțate și al dezrădăcinării Satu Mare</t>
  </si>
  <si>
    <t>Asistenţă tehnică din partea proiectantului pentru Muzeul industrializării forțate și al dezrădăcinării Satu Mare</t>
  </si>
  <si>
    <t>Servicii de suport tehnic pentru dotarea Muzeului industrializării forțate și al dezrădăcinării Satu Mare</t>
  </si>
  <si>
    <t>Dotari de specialitate la proiectul Muzeul industrializării forțate și al dezrădăcinării Satu Mare</t>
  </si>
  <si>
    <t xml:space="preserve">TOTAL 67/60 - investitii </t>
  </si>
  <si>
    <t>Total 67/60 - cheltuieli curente</t>
  </si>
  <si>
    <t>Total Cap 67 -  proiecte PNRR</t>
  </si>
  <si>
    <t>PT Reabilitare termică a blocului de locuinţe b-dul Transilvania Bl.2</t>
  </si>
  <si>
    <t>70/61</t>
  </si>
  <si>
    <t>PT Reabilitare termică a blocului de locuinţe situat pe str.Proiectantului S1</t>
  </si>
  <si>
    <t>PT Reabilitare termică la blocurile de locuinţe din str.Păulești, nr.3, bl.6</t>
  </si>
  <si>
    <t>PT Reabilitare termică a blocului de locuinţe situat pe B-dul I.C. Brătianu, nr.5</t>
  </si>
  <si>
    <t>PT Reabilitare termică la blocurile de locuinţe str.Codrului CC3 - CC5</t>
  </si>
  <si>
    <t>PT Reabilitare termică a blocului de locuinţe str.Astronauților A1</t>
  </si>
  <si>
    <t>PT Reabilitare termică la blocurile de locuinţe str.Careiului C3 - C5</t>
  </si>
  <si>
    <t>PT Reabilitare termică a blocului de locuințe din str.Mircea cel Bătrân, nr.23, bl. C26</t>
  </si>
  <si>
    <t>PT Reabilitare termică a blocului de locuințe din str.Mircea cel Bătrân, nr.25, bl. C25</t>
  </si>
  <si>
    <t>PT Reabilitare termică a blocului de locuințe din b-dul Lucian Blaga UU40</t>
  </si>
  <si>
    <t>PT Reabilitare termică a blocului de locuințe din str.Corvinilor nr.17</t>
  </si>
  <si>
    <t>PT Reabilitare termică a blocului de locuințe din str.Proiectantului S5</t>
  </si>
  <si>
    <t>PT Reabilitarea termică la blocurile de locuințe situate în Piața Soarelui UU4, UU6, UU8,UU10</t>
  </si>
  <si>
    <t>Reabilitare termică a blocului de locuinţe b-dul Transilvania Bl.2</t>
  </si>
  <si>
    <t>Reabilitare termică a blocului de locuinţe situat pe str.Proiectantului S1</t>
  </si>
  <si>
    <t>Reabilitare termică la blocurile de locuinţe din str.Păulești, nr.3, bl.6</t>
  </si>
  <si>
    <t>Reabilitare termică a blocului de locuinţe situat pe B-dul I.C. Brătianu, nr.5</t>
  </si>
  <si>
    <t>Reabilitare termică la blocurile de locuinţe str.Codrului CC3 - CC5</t>
  </si>
  <si>
    <t>Reabilitare termică a blocului de locuinţe str.Astronauților A1</t>
  </si>
  <si>
    <t>Reabilitare termică la blocurile de locuinţe str.Careiului C3 - C5</t>
  </si>
  <si>
    <t>Reabilitare termică a blocului de locuințe din str.Mircea cel Bătrân, nr.23, bl. C26</t>
  </si>
  <si>
    <t>Reabilitare termică a blocului de locuințe din str.Mircea cel Bătrân, nr.25, bl. C25</t>
  </si>
  <si>
    <t>Reabilitare termică a blocului de locuințe din b-dul Lucian Blaga UU40</t>
  </si>
  <si>
    <t>Reabilitare termică a blocului de locuințe din str.Corvinilor nr.17</t>
  </si>
  <si>
    <t>Reabilitare termică a blocului de locuințe din str.Proiectantului S5</t>
  </si>
  <si>
    <t>Reabilitarea termică la blocurile de locuințe situate în Piața Soarelui UU4, UU6, UU8,UU10</t>
  </si>
  <si>
    <t>Servicii de dirigenţie de şantier pentru Reabilitare termică a blocului de locuinţe b-dul Transilvania Bl.2</t>
  </si>
  <si>
    <t>Servicii de dirigenţie de şantier pentru Reabilitare termică a blocului de locuinţe situat pe str.Proiectantului S1</t>
  </si>
  <si>
    <t>Servicii de dirigenţie de şantier pentru Reabilitare termică la blocurile de locuinţe din str.Păulești, nr.3, bl.6</t>
  </si>
  <si>
    <t>Servicii de dirigenţie de şantier pentru Reabilitare termică a blocului de locuinţe situat pe B-dul I.C. Brătianu, nr.5</t>
  </si>
  <si>
    <t>Servicii de dirigenţie de şantier pentru Reabilitare termică la blocurile de locuinţe str.Codrului CC3 - CC5</t>
  </si>
  <si>
    <t>Servicii de dirigenţie de şantier pentru Reabilitare termică a blocului de  locuinţe str.Astronauților A1</t>
  </si>
  <si>
    <t>Servicii de dirigenţie de şantier pentru Reabilitare termică la blocurile de locuinţe str.Careiului C3 - C5</t>
  </si>
  <si>
    <t>Servicii de dirigenţie de şantier pentru Reabilitare termică a blocului de locuințe din str.Mircea cel Bătrân, nr.23, bl. C26</t>
  </si>
  <si>
    <t>Servicii de dirigenţie de şantier pentru Reabilitare termică a blocului de locuințe din str.Mircea cel Bătrân, nr.25, bl. C25</t>
  </si>
  <si>
    <t>Servicii de dirigenţie de şantier pentru Reabilitare termică a blocului de locuințe din b-dul Lucian Blaga UU40</t>
  </si>
  <si>
    <t>Servicii de dirigenţie de şantier pentru Reabilitare termică a blocului de locuințe din str.Corvinilor nr.17</t>
  </si>
  <si>
    <t>Servicii de dirigenţie de şantier pentru Reabilitare termică a blocului de locuințe din str.Proiectantului S5</t>
  </si>
  <si>
    <t>Servicii de dirigenţie de şantier pentru Reabilitarea termică la blocurile de locuințe situate în Piața Soarelui UU4, UU6, UU8,UU10</t>
  </si>
  <si>
    <t>Asistenţă tehnică din partea proiectantului pentru Reabilitare termică a blocului de locuinţe b-dul Transilvania Bl.2</t>
  </si>
  <si>
    <t>Asistenţă tehnică din partea proiectantului pentru Reabilitare termică a blocului de locuinţe situat pe str.Proiectantului S1</t>
  </si>
  <si>
    <t>Asistenţă tehnică din partea proiectantului pentru Reabilitare termică la blocurile de locuinţe din str.Păulești, nr.3, bl.6</t>
  </si>
  <si>
    <t>Asistenţă tehnică din partea proiectantului pentru Reabilitare termică a blocului de locuinţe situat pe B-dul I.C. Brătianu, nr.5</t>
  </si>
  <si>
    <t>Asistenţă tehnică din partea proiectantului pentru Reabilitare termică la blocurile de locuinţe str.Codrului CC3 - CC5</t>
  </si>
  <si>
    <t>Asistenţă tehnică din partea proiectantului pentru Reabilitare termică a blocului de locuinţe str.Astronauților A1</t>
  </si>
  <si>
    <t>Asistenţă tehnică din partea proiectantului pentru Reabilitare termică la blocurile de locuinţe str.Careiului C3 - C5</t>
  </si>
  <si>
    <t>Asistenţă tehnică din partea proiectantului pentru Reabilitare termică a blocului de locuințe din str.Mircea cel Bătrân, nr.23, bl. C26</t>
  </si>
  <si>
    <t>Asistenţă tehnică din partea proiectantului pentru Reabilitare termică a blocului de locuințe din str.Mircea cel Bătrân, nr.25, bl. C25</t>
  </si>
  <si>
    <t>Asistenţă tehnică din partea proiectantului pentru Reabilitare termică a blocului de locuințe din b-dul Lucian Blaga UU40</t>
  </si>
  <si>
    <t>Asistenţă tehnică din partea proiectantului pentru Reabilitare termică a blocului de locuințe din str.Corvinilor nr.17</t>
  </si>
  <si>
    <t>Asistenţă tehnică din partea proiectantului pentru Reabilitare termică a blocului de locuințe din str.Proiectantului S5</t>
  </si>
  <si>
    <t>Asistenţă tehnică din partea proiectantului pentru Reabilitarea termică la blocurile de locuințe situate în Piața Soarelui UU4, UU6, UU8,UU10</t>
  </si>
  <si>
    <t>SF Elaborarea Planului Urbanistic General al Municipiului Satu Mare</t>
  </si>
  <si>
    <t xml:space="preserve">TOTAL 70/61 - investitii </t>
  </si>
  <si>
    <t>Total 70/61 - cheltuieli curente</t>
  </si>
  <si>
    <t>Total Cap 70 -  proiecte PNRR</t>
  </si>
  <si>
    <t>Achiziție de autobuse nepoluante</t>
  </si>
  <si>
    <t>84/60</t>
  </si>
  <si>
    <t xml:space="preserve">TOTAL 84/60 - investitii </t>
  </si>
  <si>
    <t>Total 84/60 - cheltuieli curente</t>
  </si>
  <si>
    <t>Total Cap 84 -  proiecte PNRR</t>
  </si>
  <si>
    <t>curente  PNRR</t>
  </si>
  <si>
    <t xml:space="preserve">Transferuri de capital - Cap. 61.02 Ordine publică și siguranță națională </t>
  </si>
  <si>
    <t>51.02.29</t>
  </si>
  <si>
    <t>Politia</t>
  </si>
  <si>
    <t>Transferuri de capital - Cap. 66.02 " Sanatate"</t>
  </si>
  <si>
    <t>Transferuri de capital - Cap. 67.02 " Cultura, recreere si religie"</t>
  </si>
  <si>
    <t>Alte transferuri - Cap. 67.02 " Cultura, recreere si religie"</t>
  </si>
  <si>
    <t>55.01.13</t>
  </si>
  <si>
    <t>Pista</t>
  </si>
  <si>
    <t>Alte transferuri - Cap. 68.02 " Asigurări și asistență socială"</t>
  </si>
  <si>
    <t>Total general cheltuieli de capital</t>
  </si>
  <si>
    <t>Total general proiecte FEN 
( cheltuieli curente + cheltuieli de capital)</t>
  </si>
  <si>
    <t>Total general proiecte PNRR 
( cheltuieli curente + cheltuieli de capital)</t>
  </si>
  <si>
    <t xml:space="preserve">Total transferuri </t>
  </si>
  <si>
    <t xml:space="preserve">Plati efectuate in anii precedenti si recuperate in anul curent in sectiunea de dezvoltare a bugetului local </t>
  </si>
  <si>
    <t>TOTAL SECTIUNEA DE DEZVOLTARE , din care:</t>
  </si>
  <si>
    <t>.+. Curente</t>
  </si>
  <si>
    <t>Cap. 51.02"Autorități publice și acțiuni externe"</t>
  </si>
  <si>
    <t>Anexa 2</t>
  </si>
  <si>
    <t>Anexa 2A</t>
  </si>
  <si>
    <t>Cap. 61.02 "Ordine publică și siguranță națională"</t>
  </si>
  <si>
    <t>Anexa 2B</t>
  </si>
  <si>
    <t>Cap. 65.02" Învățământ"</t>
  </si>
  <si>
    <t>curente FEN</t>
  </si>
  <si>
    <t>curente PNRR</t>
  </si>
  <si>
    <t>Cap. 67.02 "Cultură, recreere religie"</t>
  </si>
  <si>
    <t>transferuri   K</t>
  </si>
  <si>
    <t>Cap. 68.02 "Asigurări și asistență socială"</t>
  </si>
  <si>
    <t>alte  transferuri</t>
  </si>
  <si>
    <t>Cap. 70.02 "Locuințe, servicii și dezvoltare publică'</t>
  </si>
  <si>
    <t xml:space="preserve">Cap.74.02 Protecția mediului </t>
  </si>
  <si>
    <t>Cap. 84.02 "Transporturi"</t>
  </si>
  <si>
    <t>PRIMAR</t>
  </si>
  <si>
    <t>DIRECTOR EXECUTIV</t>
  </si>
  <si>
    <t xml:space="preserve">SEF SERVICIU </t>
  </si>
  <si>
    <t>SEF SERVICIU</t>
  </si>
  <si>
    <t>PNRR</t>
  </si>
  <si>
    <t>articol</t>
  </si>
  <si>
    <t>buget         .+.</t>
  </si>
  <si>
    <t xml:space="preserve">curente </t>
  </si>
  <si>
    <t>Kereskényi Gábor</t>
  </si>
  <si>
    <t>ec.Lucia Ursu</t>
  </si>
  <si>
    <t>Szücs Zsigmond</t>
  </si>
  <si>
    <t>ec.Terezia Borbei</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</si>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</sst>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b/>
      <i/>
      <sz val="10"/>
      <name val="Times New Roman"/>
      <family val="1"/>
      <charset val="238"/>
    </font>
    <font>
      <sz val="10"/>
      <name val="Times New Roman"/>
      <family val="1"/>
      <charset val="238"/>
    </font>
    <font>
      <b/>
      <sz val="10"/>
      <name val="Times New Roman"/>
      <family val="1"/>
      <charset val="238"/>
    </font>
    <font>
      <sz val="10"/>
      <name val="Times New Roman"/>
      <family val="1"/>
    </font>
    <font>
      <b/>
      <sz val="10"/>
      <name val="Times New Roman"/>
      <family val="1"/>
    </font>
    <font>
      <b/>
      <sz val="11"/>
      <name val="Times New Roman"/>
      <family val="1"/>
    </font>
    <font>
      <b/>
      <sz val="7"/>
      <name val="Times New Roman"/>
      <family val="1"/>
    </font>
    <font>
      <b/>
      <sz val="8"/>
      <name val="Times New Roman"/>
      <family val="1"/>
    </font>
    <font>
      <sz val="10"/>
      <color rgb="FFFF0000"/>
      <name val="Times New Roman"/>
      <family val="1"/>
    </font>
    <font>
      <strike/>
      <sz val="10"/>
      <name val="Times New Roman"/>
      <family val="1"/>
    </font>
    <font>
      <sz val="10"/>
      <color rgb="FFFF0000"/>
      <name val="Times New Roman"/>
      <family val="1"/>
      <charset val="238"/>
    </font>
    <font>
      <sz val="10"/>
      <color theme="1"/>
      <name val="Arial"/>
      <family val="2"/>
    </font>
    <font>
      <sz val="10"/>
      <color theme="1"/>
      <name val="Times New Roman"/>
      <family val="1"/>
    </font>
    <font>
      <b/>
      <i/>
      <sz val="12"/>
      <name val="Times New Roman"/>
      <family val="1"/>
    </font>
    <font>
      <b/>
      <i/>
      <sz val="10"/>
      <name val="Times New Roman"/>
      <family val="1"/>
    </font>
    <font>
      <b/>
      <i/>
      <sz val="11"/>
      <name val="Times New Roman"/>
      <family val="1"/>
    </font>
    <font>
      <sz val="11"/>
      <name val="Times New Roman"/>
      <family val="1"/>
    </font>
    <font>
      <sz val="10"/>
      <name val="Arial"/>
      <family val="2"/>
      <charset val="238"/>
    </font>
    <font>
      <b/>
      <sz val="12"/>
      <name val="Times New Roman"/>
      <family val="1"/>
    </font>
    <font>
      <b/>
      <sz val="11"/>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50E43C"/>
        <bgColor indexed="64"/>
      </patternFill>
    </fill>
    <fill>
      <patternFill patternType="solid">
        <fgColor theme="8" tint="0.59999389629810485"/>
        <bgColor indexed="64"/>
      </patternFill>
    </fill>
    <fill>
      <patternFill patternType="solid">
        <fgColor rgb="FFDE5CB9"/>
        <bgColor indexed="64"/>
      </patternFill>
    </fill>
    <fill>
      <patternFill patternType="solid">
        <fgColor rgb="FFFF0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4FB9D"/>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rgb="FF00B0F0"/>
        <bgColor indexed="64"/>
      </patternFill>
    </fill>
  </fills>
  <borders count="3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6">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4" fillId="2" borderId="0" xfId="0" applyFont="1" applyFill="1"/>
    <xf numFmtId="0" fontId="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2" borderId="9" xfId="0" applyFont="1" applyFill="1" applyBorder="1" applyAlignment="1">
      <alignment vertical="center"/>
    </xf>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4" fillId="2" borderId="9" xfId="0" applyNumberFormat="1" applyFont="1" applyFill="1" applyBorder="1"/>
    <xf numFmtId="3" fontId="6" fillId="2" borderId="9" xfId="0" applyNumberFormat="1" applyFont="1" applyFill="1" applyBorder="1" applyAlignment="1">
      <alignment horizontal="right"/>
    </xf>
    <xf numFmtId="3" fontId="6" fillId="5" borderId="9" xfId="0" applyNumberFormat="1" applyFont="1" applyFill="1" applyBorder="1"/>
    <xf numFmtId="0" fontId="4" fillId="2" borderId="9" xfId="0" applyFont="1" applyFill="1" applyBorder="1" applyAlignment="1">
      <alignment horizontal="left" vertical="center" wrapText="1"/>
    </xf>
    <xf numFmtId="0" fontId="4" fillId="2" borderId="9" xfId="0" applyFont="1" applyFill="1" applyBorder="1" applyAlignment="1">
      <alignment horizontal="left" wrapText="1"/>
    </xf>
    <xf numFmtId="0" fontId="4" fillId="2" borderId="9" xfId="0" applyFont="1" applyFill="1" applyBorder="1" applyAlignment="1">
      <alignment horizontal="left"/>
    </xf>
    <xf numFmtId="3" fontId="4" fillId="2" borderId="9" xfId="0" applyNumberFormat="1"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4" fillId="2" borderId="9" xfId="0" applyNumberFormat="1" applyFont="1" applyFill="1" applyBorder="1" applyAlignment="1">
      <alignment horizontal="right" wrapText="1"/>
    </xf>
    <xf numFmtId="3" fontId="6" fillId="2" borderId="9" xfId="0" applyNumberFormat="1" applyFont="1" applyFill="1" applyBorder="1" applyAlignment="1">
      <alignment horizontal="right" wrapText="1"/>
    </xf>
    <xf numFmtId="3" fontId="4" fillId="2" borderId="10" xfId="0" applyNumberFormat="1" applyFont="1" applyFill="1" applyBorder="1" applyAlignment="1">
      <alignment horizontal="left" wrapText="1"/>
    </xf>
    <xf numFmtId="49" fontId="5" fillId="2" borderId="11" xfId="0" applyNumberFormat="1" applyFont="1" applyFill="1" applyBorder="1" applyAlignment="1">
      <alignment horizontal="center" wrapText="1"/>
    </xf>
    <xf numFmtId="0" fontId="5" fillId="2" borderId="11" xfId="0" applyFont="1" applyFill="1" applyBorder="1" applyAlignment="1">
      <alignment horizontal="center"/>
    </xf>
    <xf numFmtId="3" fontId="4" fillId="2" borderId="11" xfId="0" applyNumberFormat="1" applyFont="1" applyFill="1" applyBorder="1" applyAlignment="1">
      <alignment horizontal="right" wrapText="1"/>
    </xf>
    <xf numFmtId="3" fontId="6" fillId="2" borderId="12" xfId="0" applyNumberFormat="1" applyFont="1" applyFill="1" applyBorder="1" applyAlignment="1">
      <alignment horizontal="right" wrapText="1"/>
    </xf>
    <xf numFmtId="3" fontId="4" fillId="2" borderId="10" xfId="0" applyNumberFormat="1" applyFont="1" applyFill="1" applyBorder="1"/>
    <xf numFmtId="3" fontId="4" fillId="0" borderId="10" xfId="0" applyNumberFormat="1" applyFont="1" applyBorder="1" applyAlignment="1">
      <alignment horizontal="left" wrapText="1"/>
    </xf>
    <xf numFmtId="49" fontId="5" fillId="0" borderId="11" xfId="0" applyNumberFormat="1" applyFont="1" applyBorder="1" applyAlignment="1">
      <alignment horizontal="center" wrapText="1"/>
    </xf>
    <xf numFmtId="0" fontId="5" fillId="0" borderId="11" xfId="0" applyFont="1" applyBorder="1" applyAlignment="1">
      <alignment horizontal="center"/>
    </xf>
    <xf numFmtId="3" fontId="4" fillId="0" borderId="11" xfId="0" applyNumberFormat="1" applyFont="1" applyBorder="1" applyAlignment="1">
      <alignment horizontal="right" wrapText="1"/>
    </xf>
    <xf numFmtId="3" fontId="6" fillId="0" borderId="12" xfId="0" applyNumberFormat="1" applyFont="1" applyBorder="1" applyAlignment="1">
      <alignment horizontal="right" wrapText="1"/>
    </xf>
    <xf numFmtId="3" fontId="4" fillId="0" borderId="10" xfId="0" applyNumberFormat="1" applyFont="1" applyBorder="1"/>
    <xf numFmtId="3" fontId="4" fillId="0" borderId="9" xfId="0" applyNumberFormat="1" applyFont="1" applyBorder="1"/>
    <xf numFmtId="0" fontId="4" fillId="0" borderId="0" xfId="0" applyFont="1"/>
    <xf numFmtId="0" fontId="2" fillId="0" borderId="0" xfId="0" applyFont="1"/>
    <xf numFmtId="0" fontId="5" fillId="2" borderId="9" xfId="0" applyFont="1" applyFill="1" applyBorder="1" applyAlignment="1">
      <alignment horizontal="center" wrapText="1"/>
    </xf>
    <xf numFmtId="0" fontId="2" fillId="2" borderId="13" xfId="0" applyFont="1" applyFill="1" applyBorder="1"/>
    <xf numFmtId="0" fontId="4" fillId="2" borderId="13" xfId="0" applyFont="1" applyFill="1" applyBorder="1" applyAlignment="1">
      <alignment horizontal="left" vertical="center" wrapText="1"/>
    </xf>
    <xf numFmtId="3" fontId="4" fillId="2" borderId="14" xfId="0" applyNumberFormat="1" applyFont="1" applyFill="1" applyBorder="1" applyAlignment="1">
      <alignment horizontal="right" wrapText="1"/>
    </xf>
    <xf numFmtId="3" fontId="6" fillId="2" borderId="15" xfId="0" applyNumberFormat="1" applyFont="1" applyFill="1" applyBorder="1" applyAlignment="1">
      <alignment horizontal="right" wrapText="1"/>
    </xf>
    <xf numFmtId="0" fontId="4" fillId="2" borderId="9" xfId="0" applyFont="1" applyFill="1" applyBorder="1" applyAlignment="1">
      <alignment wrapText="1"/>
    </xf>
    <xf numFmtId="3" fontId="6" fillId="5" borderId="17" xfId="0" applyNumberFormat="1" applyFont="1" applyFill="1" applyBorder="1" applyAlignment="1">
      <alignment horizontal="right"/>
    </xf>
    <xf numFmtId="3" fontId="4" fillId="2" borderId="9" xfId="0" applyNumberFormat="1" applyFont="1" applyFill="1" applyBorder="1" applyAlignment="1">
      <alignment wrapText="1"/>
    </xf>
    <xf numFmtId="3" fontId="6" fillId="2" borderId="9" xfId="0" applyNumberFormat="1" applyFont="1" applyFill="1" applyBorder="1" applyAlignment="1">
      <alignment wrapText="1"/>
    </xf>
    <xf numFmtId="0" fontId="5" fillId="2" borderId="9" xfId="0" applyFont="1" applyFill="1" applyBorder="1" applyAlignment="1">
      <alignment wrapText="1"/>
    </xf>
    <xf numFmtId="3" fontId="6" fillId="2" borderId="9" xfId="0" applyNumberFormat="1" applyFont="1" applyFill="1" applyBorder="1"/>
    <xf numFmtId="3" fontId="4" fillId="2" borderId="9" xfId="0" applyNumberFormat="1" applyFont="1" applyFill="1" applyBorder="1" applyAlignment="1">
      <alignment horizontal="right"/>
    </xf>
    <xf numFmtId="0" fontId="4" fillId="2" borderId="9" xfId="0" applyFont="1" applyFill="1" applyBorder="1" applyAlignment="1">
      <alignment vertical="center" wrapText="1"/>
    </xf>
    <xf numFmtId="4" fontId="9" fillId="2" borderId="0" xfId="0" applyNumberFormat="1" applyFont="1" applyFill="1"/>
    <xf numFmtId="4" fontId="2" fillId="2" borderId="0" xfId="0" applyNumberFormat="1" applyFont="1" applyFill="1"/>
    <xf numFmtId="4" fontId="10" fillId="2" borderId="0" xfId="0" applyNumberFormat="1" applyFont="1" applyFill="1"/>
    <xf numFmtId="4" fontId="11" fillId="2" borderId="0" xfId="0" applyNumberFormat="1" applyFont="1" applyFill="1"/>
    <xf numFmtId="4" fontId="4" fillId="2" borderId="0" xfId="0" applyNumberFormat="1" applyFont="1" applyFill="1"/>
    <xf numFmtId="0" fontId="2" fillId="2" borderId="9" xfId="0" applyFont="1" applyFill="1" applyBorder="1" applyAlignment="1">
      <alignment wrapText="1"/>
    </xf>
    <xf numFmtId="3" fontId="6" fillId="5" borderId="9" xfId="0" applyNumberFormat="1" applyFont="1" applyFill="1" applyBorder="1" applyAlignment="1">
      <alignment horizontal="right"/>
    </xf>
    <xf numFmtId="0" fontId="4" fillId="2" borderId="9" xfId="0" applyFont="1" applyFill="1" applyBorder="1" applyAlignment="1">
      <alignment vertical="top" wrapText="1"/>
    </xf>
    <xf numFmtId="0" fontId="4" fillId="2" borderId="9" xfId="0" applyFont="1" applyFill="1" applyBorder="1"/>
    <xf numFmtId="3" fontId="4" fillId="2" borderId="9" xfId="0" applyNumberFormat="1" applyFont="1" applyFill="1" applyBorder="1" applyAlignment="1">
      <alignment horizontal="left" vertical="center" wrapText="1"/>
    </xf>
    <xf numFmtId="0" fontId="12" fillId="2" borderId="9" xfId="0" applyFont="1" applyFill="1" applyBorder="1" applyAlignment="1">
      <alignment horizontal="left" vertical="center" wrapText="1"/>
    </xf>
    <xf numFmtId="49" fontId="5" fillId="2" borderId="9" xfId="0" applyNumberFormat="1" applyFont="1" applyFill="1" applyBorder="1" applyAlignment="1">
      <alignment horizontal="center"/>
    </xf>
    <xf numFmtId="3" fontId="4" fillId="2" borderId="9" xfId="0" applyNumberFormat="1" applyFont="1" applyFill="1" applyBorder="1" applyAlignment="1">
      <alignment horizontal="right" vertical="center"/>
    </xf>
    <xf numFmtId="3" fontId="13" fillId="2" borderId="9" xfId="0" applyNumberFormat="1" applyFont="1" applyFill="1" applyBorder="1" applyAlignment="1">
      <alignment horizontal="right"/>
    </xf>
    <xf numFmtId="3" fontId="5" fillId="5" borderId="9" xfId="0" applyNumberFormat="1" applyFont="1" applyFill="1" applyBorder="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3" fontId="14" fillId="7" borderId="9" xfId="0" applyNumberFormat="1" applyFont="1" applyFill="1" applyBorder="1" applyAlignment="1">
      <alignment horizontal="center" vertical="center"/>
    </xf>
    <xf numFmtId="0" fontId="15" fillId="8" borderId="9" xfId="0" applyFont="1" applyFill="1" applyBorder="1" applyAlignment="1">
      <alignment horizontal="center" wrapText="1"/>
    </xf>
    <xf numFmtId="3" fontId="15" fillId="8" borderId="9" xfId="0" applyNumberFormat="1" applyFont="1" applyFill="1" applyBorder="1" applyAlignment="1">
      <alignment horizontal="center" wrapText="1"/>
    </xf>
    <xf numFmtId="3" fontId="2" fillId="2" borderId="0" xfId="0" applyNumberFormat="1" applyFont="1" applyFill="1"/>
    <xf numFmtId="3" fontId="14" fillId="9" borderId="9" xfId="0" applyNumberFormat="1" applyFont="1" applyFill="1" applyBorder="1" applyAlignment="1">
      <alignment horizontal="center" vertical="center" wrapText="1"/>
    </xf>
    <xf numFmtId="3" fontId="14" fillId="9" borderId="9" xfId="0" applyNumberFormat="1" applyFont="1" applyFill="1" applyBorder="1" applyAlignment="1">
      <alignment horizontal="center" vertical="center"/>
    </xf>
    <xf numFmtId="3" fontId="4" fillId="10" borderId="0" xfId="0" applyNumberFormat="1" applyFont="1" applyFill="1" applyAlignment="1">
      <alignment horizontal="center" vertical="center"/>
    </xf>
    <xf numFmtId="49" fontId="15" fillId="2" borderId="9" xfId="0" applyNumberFormat="1" applyFont="1" applyFill="1" applyBorder="1" applyAlignment="1">
      <alignment horizontal="center" wrapText="1"/>
    </xf>
    <xf numFmtId="3" fontId="4" fillId="2" borderId="9" xfId="0" applyNumberFormat="1" applyFont="1" applyFill="1" applyBorder="1" applyAlignment="1">
      <alignment horizontal="center" wrapText="1"/>
    </xf>
    <xf numFmtId="0" fontId="6" fillId="5" borderId="9" xfId="0" applyFont="1" applyFill="1" applyBorder="1" applyAlignment="1">
      <alignment horizontal="center" vertical="center" wrapText="1"/>
    </xf>
    <xf numFmtId="0" fontId="6" fillId="5" borderId="9" xfId="0" applyFont="1" applyFill="1" applyBorder="1" applyAlignment="1">
      <alignment vertical="center" wrapText="1"/>
    </xf>
    <xf numFmtId="3" fontId="5" fillId="5" borderId="9"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9" xfId="0" applyFont="1" applyFill="1" applyBorder="1" applyAlignment="1">
      <alignment vertical="center" wrapText="1"/>
    </xf>
    <xf numFmtId="3" fontId="5" fillId="3" borderId="9" xfId="0" applyNumberFormat="1" applyFont="1" applyFill="1" applyBorder="1" applyAlignment="1">
      <alignment horizontal="center" vertical="center" wrapText="1"/>
    </xf>
    <xf numFmtId="3" fontId="14" fillId="12" borderId="9" xfId="0" applyNumberFormat="1" applyFont="1" applyFill="1" applyBorder="1" applyAlignment="1">
      <alignment horizontal="center" wrapText="1"/>
    </xf>
    <xf numFmtId="3" fontId="6" fillId="2" borderId="9" xfId="0" applyNumberFormat="1" applyFont="1" applyFill="1" applyBorder="1" applyAlignment="1">
      <alignment horizontal="center" wrapText="1"/>
    </xf>
    <xf numFmtId="3" fontId="4" fillId="0" borderId="9" xfId="0" applyNumberFormat="1" applyFont="1" applyBorder="1" applyAlignment="1">
      <alignment horizontal="center" wrapText="1"/>
    </xf>
    <xf numFmtId="0" fontId="2" fillId="2" borderId="9" xfId="0" applyFont="1" applyFill="1" applyBorder="1"/>
    <xf numFmtId="3" fontId="6" fillId="5" borderId="9" xfId="0" applyNumberFormat="1" applyFont="1" applyFill="1" applyBorder="1" applyAlignment="1">
      <alignment horizontal="center" vertical="center" wrapText="1"/>
    </xf>
    <xf numFmtId="3" fontId="16" fillId="3" borderId="9" xfId="0" applyNumberFormat="1" applyFont="1" applyFill="1" applyBorder="1" applyAlignment="1">
      <alignment horizontal="center" vertical="center" wrapText="1"/>
    </xf>
    <xf numFmtId="3" fontId="6" fillId="12" borderId="9" xfId="0" applyNumberFormat="1" applyFont="1" applyFill="1" applyBorder="1" applyAlignment="1">
      <alignment horizontal="center" vertical="center" wrapText="1"/>
    </xf>
    <xf numFmtId="3" fontId="17" fillId="2" borderId="9" xfId="0" applyNumberFormat="1"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0" fontId="6" fillId="4" borderId="9" xfId="0" applyFont="1" applyFill="1" applyBorder="1" applyAlignment="1">
      <alignment horizontal="center" wrapText="1"/>
    </xf>
    <xf numFmtId="0" fontId="18" fillId="2" borderId="9" xfId="0" applyFont="1" applyFill="1" applyBorder="1" applyAlignment="1">
      <alignment horizontal="left" wrapText="1"/>
    </xf>
    <xf numFmtId="0" fontId="6" fillId="2" borderId="9" xfId="0" applyFont="1" applyFill="1" applyBorder="1" applyAlignment="1">
      <alignment horizontal="center" vertical="center" wrapText="1"/>
    </xf>
    <xf numFmtId="3" fontId="2" fillId="2" borderId="9" xfId="0" applyNumberFormat="1" applyFont="1" applyFill="1" applyBorder="1" applyAlignment="1">
      <alignment horizontal="right" wrapText="1"/>
    </xf>
    <xf numFmtId="0" fontId="18" fillId="13" borderId="9" xfId="0" applyFont="1" applyFill="1" applyBorder="1" applyAlignment="1">
      <alignment horizontal="left" wrapText="1"/>
    </xf>
    <xf numFmtId="0" fontId="5" fillId="13" borderId="9" xfId="0" applyFont="1" applyFill="1" applyBorder="1" applyAlignment="1">
      <alignment horizontal="center" wrapText="1"/>
    </xf>
    <xf numFmtId="3" fontId="4" fillId="13" borderId="9" xfId="0" applyNumberFormat="1" applyFont="1" applyFill="1" applyBorder="1" applyAlignment="1">
      <alignment horizontal="right" wrapText="1"/>
    </xf>
    <xf numFmtId="3" fontId="6" fillId="13" borderId="9" xfId="0" applyNumberFormat="1" applyFont="1" applyFill="1" applyBorder="1" applyAlignment="1">
      <alignment horizontal="right" wrapText="1"/>
    </xf>
    <xf numFmtId="3" fontId="2" fillId="13" borderId="9" xfId="0" applyNumberFormat="1" applyFont="1" applyFill="1" applyBorder="1" applyAlignment="1">
      <alignment horizontal="right" wrapText="1"/>
    </xf>
    <xf numFmtId="3" fontId="6" fillId="5" borderId="9" xfId="0" applyNumberFormat="1" applyFont="1" applyFill="1" applyBorder="1" applyAlignment="1">
      <alignment horizontal="right" vertical="center" wrapText="1"/>
    </xf>
    <xf numFmtId="0" fontId="2" fillId="13" borderId="0" xfId="0" applyFont="1" applyFill="1"/>
    <xf numFmtId="3" fontId="6" fillId="14" borderId="9" xfId="0" applyNumberFormat="1" applyFont="1" applyFill="1" applyBorder="1" applyAlignment="1">
      <alignment horizontal="right" vertical="center" wrapText="1"/>
    </xf>
    <xf numFmtId="3" fontId="2" fillId="13" borderId="0" xfId="0" applyNumberFormat="1" applyFont="1" applyFill="1"/>
    <xf numFmtId="3" fontId="6" fillId="12" borderId="9" xfId="0" applyNumberFormat="1" applyFont="1" applyFill="1" applyBorder="1" applyAlignment="1">
      <alignment horizontal="right" vertical="center" wrapText="1"/>
    </xf>
    <xf numFmtId="3" fontId="6" fillId="12" borderId="9" xfId="0" applyNumberFormat="1" applyFont="1" applyFill="1" applyBorder="1" applyAlignment="1">
      <alignment horizontal="right" wrapText="1"/>
    </xf>
    <xf numFmtId="3" fontId="19" fillId="9" borderId="9" xfId="0" applyNumberFormat="1" applyFont="1" applyFill="1" applyBorder="1" applyAlignment="1">
      <alignment horizontal="right" vertical="center" wrapText="1"/>
    </xf>
    <xf numFmtId="0" fontId="20" fillId="2" borderId="9" xfId="0" applyFont="1" applyFill="1" applyBorder="1" applyAlignment="1">
      <alignment horizontal="center" vertical="center" wrapText="1"/>
    </xf>
    <xf numFmtId="3" fontId="20" fillId="2" borderId="9" xfId="0" applyNumberFormat="1" applyFont="1" applyFill="1" applyBorder="1" applyAlignment="1">
      <alignment horizontal="center" vertical="center" wrapText="1"/>
    </xf>
    <xf numFmtId="3" fontId="20" fillId="5" borderId="9" xfId="0" applyNumberFormat="1" applyFont="1" applyFill="1" applyBorder="1" applyAlignment="1">
      <alignment horizontal="center" vertical="center" wrapText="1"/>
    </xf>
    <xf numFmtId="3" fontId="20" fillId="14" borderId="9" xfId="0" applyNumberFormat="1" applyFont="1" applyFill="1" applyBorder="1" applyAlignment="1">
      <alignment horizontal="center" vertical="center" wrapText="1"/>
    </xf>
    <xf numFmtId="3" fontId="20" fillId="12" borderId="9" xfId="0" applyNumberFormat="1" applyFont="1" applyFill="1" applyBorder="1" applyAlignment="1">
      <alignment horizontal="center" vertical="center" wrapText="1"/>
    </xf>
    <xf numFmtId="0" fontId="2" fillId="2" borderId="9" xfId="0" applyFont="1" applyFill="1" applyBorder="1" applyAlignment="1">
      <alignment vertical="center" wrapText="1"/>
    </xf>
    <xf numFmtId="0" fontId="3" fillId="2" borderId="9" xfId="0" applyFont="1" applyFill="1" applyBorder="1" applyAlignment="1">
      <alignment horizontal="center" wrapText="1"/>
    </xf>
    <xf numFmtId="3" fontId="20" fillId="2" borderId="9" xfId="0" applyNumberFormat="1" applyFont="1" applyFill="1" applyBorder="1" applyAlignment="1">
      <alignment horizontal="right" wrapText="1"/>
    </xf>
    <xf numFmtId="0" fontId="2" fillId="16" borderId="0" xfId="0" applyFont="1" applyFill="1"/>
    <xf numFmtId="0" fontId="2" fillId="16" borderId="0" xfId="0" applyFont="1" applyFill="1" applyAlignment="1">
      <alignment horizontal="center" wrapText="1"/>
    </xf>
    <xf numFmtId="3" fontId="2" fillId="16" borderId="9" xfId="0" applyNumberFormat="1" applyFont="1" applyFill="1" applyBorder="1" applyAlignment="1">
      <alignment horizontal="center"/>
    </xf>
    <xf numFmtId="0" fontId="2" fillId="16" borderId="9" xfId="0" applyFont="1" applyFill="1" applyBorder="1" applyAlignment="1">
      <alignment horizontal="center"/>
    </xf>
    <xf numFmtId="0" fontId="2" fillId="16" borderId="9" xfId="0" applyFont="1" applyFill="1" applyBorder="1" applyAlignment="1">
      <alignment horizontal="center" vertical="center"/>
    </xf>
    <xf numFmtId="3" fontId="2" fillId="16" borderId="9" xfId="0" applyNumberFormat="1" applyFont="1" applyFill="1" applyBorder="1" applyAlignment="1">
      <alignment horizontal="center" vertical="center"/>
    </xf>
    <xf numFmtId="0" fontId="2" fillId="2" borderId="9" xfId="0" applyFont="1" applyFill="1" applyBorder="1" applyAlignment="1">
      <alignment vertical="top" wrapText="1"/>
    </xf>
    <xf numFmtId="49" fontId="3" fillId="2" borderId="9" xfId="0" applyNumberFormat="1" applyFont="1" applyFill="1" applyBorder="1" applyAlignment="1">
      <alignment horizontal="center" wrapText="1"/>
    </xf>
    <xf numFmtId="0" fontId="3" fillId="2" borderId="9" xfId="0" applyFont="1" applyFill="1" applyBorder="1" applyAlignment="1">
      <alignment horizontal="center"/>
    </xf>
    <xf numFmtId="3" fontId="2" fillId="2" borderId="9" xfId="0" applyNumberFormat="1" applyFont="1" applyFill="1" applyBorder="1"/>
    <xf numFmtId="3" fontId="2" fillId="2" borderId="0" xfId="0" applyNumberFormat="1" applyFont="1" applyFill="1" applyAlignment="1">
      <alignment horizontal="center" vertical="top"/>
    </xf>
    <xf numFmtId="0" fontId="2" fillId="2" borderId="9" xfId="0" applyFont="1" applyFill="1" applyBorder="1" applyAlignment="1">
      <alignment horizontal="left" vertical="top" wrapText="1"/>
    </xf>
    <xf numFmtId="3" fontId="20" fillId="5" borderId="9" xfId="0" applyNumberFormat="1" applyFont="1" applyFill="1" applyBorder="1" applyAlignment="1">
      <alignment horizontal="right" vertical="center" wrapText="1"/>
    </xf>
    <xf numFmtId="3" fontId="20" fillId="14" borderId="9" xfId="0" applyNumberFormat="1" applyFont="1" applyFill="1" applyBorder="1" applyAlignment="1">
      <alignment horizontal="right" vertical="center" wrapText="1"/>
    </xf>
    <xf numFmtId="3" fontId="20" fillId="12" borderId="9" xfId="0" applyNumberFormat="1" applyFont="1" applyFill="1" applyBorder="1" applyAlignment="1">
      <alignment horizontal="right" vertical="center" wrapText="1"/>
    </xf>
    <xf numFmtId="3" fontId="2" fillId="2" borderId="9" xfId="0" applyNumberFormat="1" applyFont="1" applyFill="1" applyBorder="1" applyAlignment="1">
      <alignment horizontal="right"/>
    </xf>
    <xf numFmtId="0" fontId="3" fillId="0" borderId="9" xfId="0" applyFont="1" applyBorder="1" applyAlignment="1">
      <alignment horizontal="center" wrapText="1"/>
    </xf>
    <xf numFmtId="3" fontId="18" fillId="0" borderId="9" xfId="0" applyNumberFormat="1" applyFont="1" applyBorder="1" applyAlignment="1">
      <alignment horizontal="right"/>
    </xf>
    <xf numFmtId="3" fontId="2" fillId="0" borderId="9" xfId="0" applyNumberFormat="1" applyFont="1" applyBorder="1" applyAlignment="1">
      <alignment horizontal="right" wrapText="1"/>
    </xf>
    <xf numFmtId="3" fontId="20" fillId="0" borderId="9" xfId="0" applyNumberFormat="1" applyFont="1" applyBorder="1" applyAlignment="1">
      <alignment horizontal="right" wrapText="1"/>
    </xf>
    <xf numFmtId="3" fontId="18" fillId="2" borderId="9" xfId="0" applyNumberFormat="1" applyFont="1" applyFill="1" applyBorder="1" applyAlignment="1">
      <alignment horizontal="right"/>
    </xf>
    <xf numFmtId="0" fontId="18" fillId="2" borderId="9" xfId="0" applyFont="1" applyFill="1" applyBorder="1" applyAlignment="1">
      <alignment horizontal="left" vertical="top" wrapText="1"/>
    </xf>
    <xf numFmtId="0" fontId="18" fillId="2" borderId="9" xfId="0" applyFont="1" applyFill="1" applyBorder="1" applyAlignment="1">
      <alignment horizontal="left" vertical="center" wrapText="1"/>
    </xf>
    <xf numFmtId="3" fontId="5" fillId="2" borderId="9" xfId="0" applyNumberFormat="1" applyFont="1" applyFill="1" applyBorder="1" applyAlignment="1">
      <alignment horizontal="right" wrapText="1"/>
    </xf>
    <xf numFmtId="3" fontId="16" fillId="0" borderId="9" xfId="0" applyNumberFormat="1" applyFont="1" applyBorder="1" applyAlignment="1">
      <alignment horizontal="right" vertical="center" wrapText="1"/>
    </xf>
    <xf numFmtId="3" fontId="20" fillId="0" borderId="9" xfId="0" applyNumberFormat="1" applyFont="1" applyBorder="1" applyAlignment="1">
      <alignment horizontal="center" vertical="center" wrapText="1"/>
    </xf>
    <xf numFmtId="0" fontId="2" fillId="2" borderId="0" xfId="0" applyFont="1" applyFill="1" applyAlignment="1">
      <alignment horizontal="right"/>
    </xf>
    <xf numFmtId="3" fontId="16" fillId="0" borderId="0" xfId="0" applyNumberFormat="1" applyFont="1" applyAlignment="1">
      <alignment horizontal="right" vertical="center" wrapText="1"/>
    </xf>
    <xf numFmtId="3" fontId="22" fillId="0" borderId="9" xfId="0" applyNumberFormat="1" applyFont="1" applyBorder="1" applyAlignment="1">
      <alignment horizontal="right" wrapText="1"/>
    </xf>
    <xf numFmtId="0" fontId="22" fillId="0" borderId="9" xfId="0" applyFont="1" applyBorder="1" applyAlignment="1">
      <alignment horizontal="right" wrapText="1"/>
    </xf>
    <xf numFmtId="3" fontId="22" fillId="0" borderId="0" xfId="0" applyNumberFormat="1" applyFont="1" applyAlignment="1">
      <alignment horizontal="right" wrapText="1"/>
    </xf>
    <xf numFmtId="3" fontId="21" fillId="17" borderId="9" xfId="0" applyNumberFormat="1" applyFont="1" applyFill="1" applyBorder="1" applyAlignment="1">
      <alignment horizontal="right" wrapText="1"/>
    </xf>
    <xf numFmtId="3" fontId="21" fillId="17" borderId="21" xfId="0" applyNumberFormat="1" applyFont="1" applyFill="1" applyBorder="1" applyAlignment="1">
      <alignment horizontal="right" wrapText="1"/>
    </xf>
    <xf numFmtId="0" fontId="2" fillId="2" borderId="0" xfId="0" applyFont="1" applyFill="1" applyAlignment="1">
      <alignment horizontal="center"/>
    </xf>
    <xf numFmtId="3" fontId="21" fillId="18" borderId="28" xfId="0" applyNumberFormat="1" applyFont="1" applyFill="1" applyBorder="1" applyAlignment="1">
      <alignment wrapText="1"/>
    </xf>
    <xf numFmtId="3" fontId="2" fillId="5" borderId="0" xfId="0" applyNumberFormat="1" applyFont="1" applyFill="1"/>
    <xf numFmtId="0" fontId="5" fillId="2" borderId="0" xfId="0" applyFont="1" applyFill="1" applyAlignment="1">
      <alignment horizontal="center"/>
    </xf>
    <xf numFmtId="3" fontId="21" fillId="19" borderId="31" xfId="0" applyNumberFormat="1" applyFont="1" applyFill="1" applyBorder="1" applyAlignment="1">
      <alignment wrapText="1"/>
    </xf>
    <xf numFmtId="0" fontId="2" fillId="5" borderId="0" xfId="0" applyFont="1" applyFill="1"/>
    <xf numFmtId="0" fontId="6" fillId="20" borderId="9" xfId="0" applyFont="1" applyFill="1" applyBorder="1"/>
    <xf numFmtId="3" fontId="6" fillId="20" borderId="9" xfId="0" applyNumberFormat="1" applyFont="1" applyFill="1" applyBorder="1"/>
    <xf numFmtId="3" fontId="5" fillId="20" borderId="9" xfId="0" applyNumberFormat="1" applyFont="1" applyFill="1" applyBorder="1"/>
    <xf numFmtId="3" fontId="21" fillId="19" borderId="32" xfId="0" applyNumberFormat="1" applyFont="1" applyFill="1" applyBorder="1" applyAlignment="1">
      <alignment wrapText="1"/>
    </xf>
    <xf numFmtId="0" fontId="6" fillId="2" borderId="0" xfId="0" applyFont="1" applyFill="1"/>
    <xf numFmtId="3" fontId="6" fillId="20" borderId="28" xfId="0" applyNumberFormat="1" applyFont="1" applyFill="1" applyBorder="1"/>
    <xf numFmtId="3" fontId="21" fillId="19" borderId="33" xfId="0" applyNumberFormat="1" applyFont="1" applyFill="1" applyBorder="1" applyAlignment="1">
      <alignment wrapText="1"/>
    </xf>
    <xf numFmtId="3" fontId="21" fillId="19" borderId="37" xfId="0" applyNumberFormat="1" applyFont="1" applyFill="1" applyBorder="1" applyAlignment="1">
      <alignment wrapText="1"/>
    </xf>
    <xf numFmtId="3" fontId="22" fillId="2" borderId="0" xfId="0" applyNumberFormat="1" applyFont="1" applyFill="1" applyAlignment="1">
      <alignment horizontal="center" vertical="center"/>
    </xf>
    <xf numFmtId="0" fontId="3" fillId="2" borderId="0" xfId="0" applyFont="1" applyFill="1" applyAlignment="1">
      <alignment horizontal="center"/>
    </xf>
    <xf numFmtId="0" fontId="3" fillId="2" borderId="0" xfId="0" applyFont="1" applyFill="1"/>
    <xf numFmtId="0" fontId="2" fillId="21" borderId="9" xfId="0" applyFont="1" applyFill="1" applyBorder="1"/>
    <xf numFmtId="3" fontId="2" fillId="2" borderId="9" xfId="0" applyNumberFormat="1" applyFont="1" applyFill="1" applyBorder="1" applyAlignment="1">
      <alignment horizontal="center"/>
    </xf>
    <xf numFmtId="3" fontId="2" fillId="2" borderId="9" xfId="0" applyNumberFormat="1" applyFont="1" applyFill="1" applyBorder="1" applyAlignment="1">
      <alignment horizontal="left"/>
    </xf>
    <xf numFmtId="3" fontId="2" fillId="16" borderId="9" xfId="0" applyNumberFormat="1" applyFont="1" applyFill="1" applyBorder="1"/>
    <xf numFmtId="0" fontId="2" fillId="2" borderId="0" xfId="0" applyFont="1" applyFill="1" applyAlignment="1">
      <alignment horizontal="left"/>
    </xf>
    <xf numFmtId="4" fontId="23"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3" fillId="2" borderId="0" xfId="0" applyNumberFormat="1" applyFont="1" applyFill="1" applyAlignment="1">
      <alignment horizontal="center"/>
    </xf>
    <xf numFmtId="4" fontId="24" fillId="2" borderId="0" xfId="0" applyNumberFormat="1" applyFont="1" applyFill="1" applyAlignment="1">
      <alignment horizontal="center"/>
    </xf>
    <xf numFmtId="4" fontId="3" fillId="2" borderId="0" xfId="0" applyNumberFormat="1" applyFont="1" applyFill="1"/>
    <xf numFmtId="3" fontId="3" fillId="2" borderId="0" xfId="0" applyNumberFormat="1" applyFont="1" applyFill="1"/>
    <xf numFmtId="3" fontId="2" fillId="2" borderId="3" xfId="0" applyNumberFormat="1" applyFont="1" applyFill="1" applyBorder="1"/>
    <xf numFmtId="0" fontId="2" fillId="2" borderId="3" xfId="0" applyFont="1" applyFill="1" applyBorder="1"/>
    <xf numFmtId="0" fontId="6" fillId="6" borderId="9"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9" xfId="0" applyFont="1" applyFill="1" applyBorder="1" applyAlignment="1">
      <alignment horizontal="center" wrapText="1"/>
    </xf>
    <xf numFmtId="0" fontId="6" fillId="4"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6" fillId="5" borderId="16" xfId="0" applyFont="1" applyFill="1" applyBorder="1" applyAlignment="1">
      <alignment horizontal="center" wrapText="1"/>
    </xf>
    <xf numFmtId="0" fontId="6" fillId="5" borderId="0" xfId="0" applyFont="1" applyFill="1" applyAlignment="1">
      <alignment horizontal="center" wrapText="1"/>
    </xf>
    <xf numFmtId="0" fontId="6" fillId="5" borderId="3" xfId="0" applyFont="1" applyFill="1" applyBorder="1" applyAlignment="1">
      <alignment horizontal="center" wrapText="1"/>
    </xf>
    <xf numFmtId="0" fontId="6" fillId="5" borderId="9" xfId="0" applyFont="1" applyFill="1" applyBorder="1" applyAlignment="1">
      <alignment horizontal="center"/>
    </xf>
    <xf numFmtId="0" fontId="6" fillId="6" borderId="16" xfId="0" applyFont="1" applyFill="1" applyBorder="1" applyAlignment="1">
      <alignment horizontal="center" wrapText="1"/>
    </xf>
    <xf numFmtId="0" fontId="6" fillId="6" borderId="0" xfId="0" applyFont="1" applyFill="1" applyAlignment="1">
      <alignment horizontal="center" wrapText="1"/>
    </xf>
    <xf numFmtId="0" fontId="6" fillId="6" borderId="18" xfId="0" applyFont="1" applyFill="1" applyBorder="1" applyAlignment="1">
      <alignment horizontal="center" wrapText="1"/>
    </xf>
    <xf numFmtId="0" fontId="5" fillId="5" borderId="9"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15" fillId="8" borderId="9" xfId="0" applyFont="1" applyFill="1" applyBorder="1" applyAlignment="1">
      <alignment horizontal="center" wrapText="1"/>
    </xf>
    <xf numFmtId="0" fontId="14" fillId="9" borderId="9"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1" borderId="9" xfId="0" applyFont="1" applyFill="1" applyBorder="1" applyAlignment="1">
      <alignment horizontal="center" wrapText="1"/>
    </xf>
    <xf numFmtId="3" fontId="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16" fillId="14" borderId="9"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1" fillId="14" borderId="9"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21" fillId="17" borderId="19" xfId="0" applyFont="1" applyFill="1" applyBorder="1" applyAlignment="1">
      <alignment horizontal="center" vertical="center" wrapText="1"/>
    </xf>
    <xf numFmtId="0" fontId="21" fillId="17" borderId="20" xfId="0" applyFont="1" applyFill="1" applyBorder="1" applyAlignment="1">
      <alignment horizontal="center" vertical="center" wrapText="1"/>
    </xf>
    <xf numFmtId="0" fontId="21" fillId="17" borderId="14" xfId="0" applyFont="1" applyFill="1" applyBorder="1" applyAlignment="1">
      <alignment horizontal="center" vertical="center" wrapText="1"/>
    </xf>
    <xf numFmtId="0" fontId="15" fillId="0" borderId="9" xfId="0" applyFont="1" applyBorder="1" applyAlignment="1">
      <alignment horizontal="center" vertical="center" wrapText="1"/>
    </xf>
    <xf numFmtId="0" fontId="21" fillId="2" borderId="9" xfId="0" applyFont="1" applyFill="1" applyBorder="1" applyAlignment="1">
      <alignment horizontal="left" vertical="center" wrapText="1"/>
    </xf>
    <xf numFmtId="0" fontId="21" fillId="17" borderId="9" xfId="0" applyFont="1" applyFill="1" applyBorder="1" applyAlignment="1">
      <alignment horizontal="center" vertical="center" wrapText="1"/>
    </xf>
    <xf numFmtId="0" fontId="3" fillId="2" borderId="0" xfId="0" applyFont="1" applyFill="1" applyAlignment="1">
      <alignment horizontal="center"/>
    </xf>
    <xf numFmtId="0" fontId="21" fillId="17" borderId="22" xfId="0" applyFont="1" applyFill="1" applyBorder="1" applyAlignment="1">
      <alignment horizontal="center" vertical="center" wrapText="1"/>
    </xf>
    <xf numFmtId="0" fontId="21" fillId="17" borderId="23" xfId="0" applyFont="1" applyFill="1" applyBorder="1" applyAlignment="1">
      <alignment horizontal="center" vertical="center" wrapText="1"/>
    </xf>
    <xf numFmtId="0" fontId="21" fillId="17" borderId="24" xfId="0" applyFont="1" applyFill="1" applyBorder="1" applyAlignment="1">
      <alignment horizontal="center" vertical="center" wrapText="1"/>
    </xf>
    <xf numFmtId="0" fontId="21" fillId="18" borderId="25" xfId="0" applyFont="1" applyFill="1" applyBorder="1" applyAlignment="1">
      <alignment horizontal="center" wrapText="1"/>
    </xf>
    <xf numFmtId="0" fontId="21" fillId="18" borderId="26" xfId="0" applyFont="1" applyFill="1" applyBorder="1" applyAlignment="1">
      <alignment horizontal="center" wrapText="1"/>
    </xf>
    <xf numFmtId="0" fontId="21" fillId="18" borderId="27" xfId="0" applyFont="1" applyFill="1" applyBorder="1" applyAlignment="1">
      <alignment horizontal="center" wrapText="1"/>
    </xf>
    <xf numFmtId="0" fontId="21" fillId="19" borderId="29" xfId="0" applyFont="1" applyFill="1" applyBorder="1" applyAlignment="1">
      <alignment horizontal="center" wrapText="1"/>
    </xf>
    <xf numFmtId="0" fontId="21" fillId="19" borderId="13" xfId="0" applyFont="1" applyFill="1" applyBorder="1" applyAlignment="1">
      <alignment horizontal="center" wrapText="1"/>
    </xf>
    <xf numFmtId="0" fontId="21" fillId="19" borderId="30" xfId="0" applyFont="1" applyFill="1" applyBorder="1" applyAlignment="1">
      <alignment horizontal="center" wrapText="1"/>
    </xf>
    <xf numFmtId="3" fontId="21" fillId="0" borderId="0" xfId="0" applyNumberFormat="1" applyFont="1" applyAlignment="1">
      <alignment horizontal="center" wrapText="1"/>
    </xf>
    <xf numFmtId="0" fontId="21" fillId="19" borderId="19" xfId="0" applyFont="1" applyFill="1" applyBorder="1" applyAlignment="1">
      <alignment horizontal="center" wrapText="1"/>
    </xf>
    <xf numFmtId="0" fontId="21" fillId="19" borderId="20" xfId="0" applyFont="1" applyFill="1" applyBorder="1" applyAlignment="1">
      <alignment horizontal="center" wrapText="1"/>
    </xf>
    <xf numFmtId="0" fontId="21" fillId="19" borderId="14" xfId="0" applyFont="1" applyFill="1" applyBorder="1" applyAlignment="1">
      <alignment horizontal="center" wrapText="1"/>
    </xf>
    <xf numFmtId="0" fontId="21" fillId="19" borderId="34" xfId="0" applyFont="1" applyFill="1" applyBorder="1" applyAlignment="1">
      <alignment horizontal="center" wrapText="1"/>
    </xf>
    <xf numFmtId="0" fontId="21" fillId="19" borderId="35" xfId="0" applyFont="1" applyFill="1" applyBorder="1" applyAlignment="1">
      <alignment horizontal="center" wrapText="1"/>
    </xf>
    <xf numFmtId="0" fontId="21" fillId="19" borderId="36" xfId="0" applyFont="1" applyFill="1" applyBorder="1" applyAlignment="1">
      <alignment horizontal="center" wrapText="1"/>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1273-CFE2-4C21-BD44-AA79E98B9A31}">
  <sheetPr>
    <tabColor rgb="FFFF0000"/>
  </sheetPr>
  <dimension ref="A1:FI655"/>
  <sheetViews>
    <sheetView tabSelected="1" zoomScale="85" zoomScaleNormal="85" workbookViewId="0">
      <pane ySplit="6" topLeftCell="A396" activePane="bottomLeft" state="frozen"/>
      <selection pane="bottomLeft" activeCell="E410" sqref="E410:G411"/>
    </sheetView>
  </sheetViews>
  <sheetFormatPr defaultColWidth="12.5703125" defaultRowHeight="12.75" x14ac:dyDescent="0.2"/>
  <cols>
    <col min="1" max="1" width="50.7109375" style="2" customWidth="1"/>
    <col min="2" max="2" width="6.5703125" style="2" customWidth="1"/>
    <col min="3" max="3" width="6.140625" style="2" customWidth="1"/>
    <col min="4" max="4" width="15.140625" style="2" customWidth="1"/>
    <col min="5" max="5" width="14.5703125" style="2" customWidth="1"/>
    <col min="6" max="6" width="13.85546875" style="2" customWidth="1"/>
    <col min="7" max="7" width="15.42578125" style="2" bestFit="1" customWidth="1"/>
    <col min="8" max="8" width="15.85546875" style="2" customWidth="1"/>
    <col min="9" max="9" width="15" style="2" bestFit="1" customWidth="1"/>
    <col min="10" max="10" width="15.42578125" style="183" customWidth="1"/>
    <col min="11" max="14" width="12.5703125" style="2"/>
    <col min="15" max="15" width="14.28515625" style="2" customWidth="1"/>
    <col min="16" max="256" width="12.5703125" style="2"/>
    <col min="257" max="257" width="50.7109375" style="2" customWidth="1"/>
    <col min="258" max="258" width="6.5703125" style="2" customWidth="1"/>
    <col min="259" max="259" width="6.140625" style="2" customWidth="1"/>
    <col min="260" max="260" width="15.140625" style="2" customWidth="1"/>
    <col min="261" max="261" width="14.5703125" style="2" customWidth="1"/>
    <col min="262" max="262" width="13.85546875" style="2" customWidth="1"/>
    <col min="263" max="263" width="15.42578125" style="2" bestFit="1" customWidth="1"/>
    <col min="264" max="264" width="15.85546875" style="2" customWidth="1"/>
    <col min="265" max="265" width="15" style="2" bestFit="1" customWidth="1"/>
    <col min="266" max="266" width="15.42578125" style="2" customWidth="1"/>
    <col min="267" max="270" width="12.5703125" style="2"/>
    <col min="271" max="271" width="14.28515625" style="2" customWidth="1"/>
    <col min="272" max="512" width="12.5703125" style="2"/>
    <col min="513" max="513" width="50.7109375" style="2" customWidth="1"/>
    <col min="514" max="514" width="6.5703125" style="2" customWidth="1"/>
    <col min="515" max="515" width="6.140625" style="2" customWidth="1"/>
    <col min="516" max="516" width="15.140625" style="2" customWidth="1"/>
    <col min="517" max="517" width="14.5703125" style="2" customWidth="1"/>
    <col min="518" max="518" width="13.85546875" style="2" customWidth="1"/>
    <col min="519" max="519" width="15.42578125" style="2" bestFit="1" customWidth="1"/>
    <col min="520" max="520" width="15.85546875" style="2" customWidth="1"/>
    <col min="521" max="521" width="15" style="2" bestFit="1" customWidth="1"/>
    <col min="522" max="522" width="15.42578125" style="2" customWidth="1"/>
    <col min="523" max="526" width="12.5703125" style="2"/>
    <col min="527" max="527" width="14.28515625" style="2" customWidth="1"/>
    <col min="528" max="768" width="12.5703125" style="2"/>
    <col min="769" max="769" width="50.7109375" style="2" customWidth="1"/>
    <col min="770" max="770" width="6.5703125" style="2" customWidth="1"/>
    <col min="771" max="771" width="6.140625" style="2" customWidth="1"/>
    <col min="772" max="772" width="15.140625" style="2" customWidth="1"/>
    <col min="773" max="773" width="14.5703125" style="2" customWidth="1"/>
    <col min="774" max="774" width="13.85546875" style="2" customWidth="1"/>
    <col min="775" max="775" width="15.42578125" style="2" bestFit="1" customWidth="1"/>
    <col min="776" max="776" width="15.85546875" style="2" customWidth="1"/>
    <col min="777" max="777" width="15" style="2" bestFit="1" customWidth="1"/>
    <col min="778" max="778" width="15.42578125" style="2" customWidth="1"/>
    <col min="779" max="782" width="12.5703125" style="2"/>
    <col min="783" max="783" width="14.28515625" style="2" customWidth="1"/>
    <col min="784" max="1024" width="12.5703125" style="2"/>
    <col min="1025" max="1025" width="50.7109375" style="2" customWidth="1"/>
    <col min="1026" max="1026" width="6.5703125" style="2" customWidth="1"/>
    <col min="1027" max="1027" width="6.140625" style="2" customWidth="1"/>
    <col min="1028" max="1028" width="15.140625" style="2" customWidth="1"/>
    <col min="1029" max="1029" width="14.5703125" style="2" customWidth="1"/>
    <col min="1030" max="1030" width="13.85546875" style="2" customWidth="1"/>
    <col min="1031" max="1031" width="15.42578125" style="2" bestFit="1" customWidth="1"/>
    <col min="1032" max="1032" width="15.85546875" style="2" customWidth="1"/>
    <col min="1033" max="1033" width="15" style="2" bestFit="1" customWidth="1"/>
    <col min="1034" max="1034" width="15.42578125" style="2" customWidth="1"/>
    <col min="1035" max="1038" width="12.5703125" style="2"/>
    <col min="1039" max="1039" width="14.28515625" style="2" customWidth="1"/>
    <col min="1040" max="1280" width="12.5703125" style="2"/>
    <col min="1281" max="1281" width="50.7109375" style="2" customWidth="1"/>
    <col min="1282" max="1282" width="6.5703125" style="2" customWidth="1"/>
    <col min="1283" max="1283" width="6.140625" style="2" customWidth="1"/>
    <col min="1284" max="1284" width="15.140625" style="2" customWidth="1"/>
    <col min="1285" max="1285" width="14.5703125" style="2" customWidth="1"/>
    <col min="1286" max="1286" width="13.85546875" style="2" customWidth="1"/>
    <col min="1287" max="1287" width="15.42578125" style="2" bestFit="1" customWidth="1"/>
    <col min="1288" max="1288" width="15.85546875" style="2" customWidth="1"/>
    <col min="1289" max="1289" width="15" style="2" bestFit="1" customWidth="1"/>
    <col min="1290" max="1290" width="15.42578125" style="2" customWidth="1"/>
    <col min="1291" max="1294" width="12.5703125" style="2"/>
    <col min="1295" max="1295" width="14.28515625" style="2" customWidth="1"/>
    <col min="1296" max="1536" width="12.5703125" style="2"/>
    <col min="1537" max="1537" width="50.7109375" style="2" customWidth="1"/>
    <col min="1538" max="1538" width="6.5703125" style="2" customWidth="1"/>
    <col min="1539" max="1539" width="6.140625" style="2" customWidth="1"/>
    <col min="1540" max="1540" width="15.140625" style="2" customWidth="1"/>
    <col min="1541" max="1541" width="14.5703125" style="2" customWidth="1"/>
    <col min="1542" max="1542" width="13.85546875" style="2" customWidth="1"/>
    <col min="1543" max="1543" width="15.42578125" style="2" bestFit="1" customWidth="1"/>
    <col min="1544" max="1544" width="15.85546875" style="2" customWidth="1"/>
    <col min="1545" max="1545" width="15" style="2" bestFit="1" customWidth="1"/>
    <col min="1546" max="1546" width="15.42578125" style="2" customWidth="1"/>
    <col min="1547" max="1550" width="12.5703125" style="2"/>
    <col min="1551" max="1551" width="14.28515625" style="2" customWidth="1"/>
    <col min="1552" max="1792" width="12.5703125" style="2"/>
    <col min="1793" max="1793" width="50.7109375" style="2" customWidth="1"/>
    <col min="1794" max="1794" width="6.5703125" style="2" customWidth="1"/>
    <col min="1795" max="1795" width="6.140625" style="2" customWidth="1"/>
    <col min="1796" max="1796" width="15.140625" style="2" customWidth="1"/>
    <col min="1797" max="1797" width="14.5703125" style="2" customWidth="1"/>
    <col min="1798" max="1798" width="13.85546875" style="2" customWidth="1"/>
    <col min="1799" max="1799" width="15.42578125" style="2" bestFit="1" customWidth="1"/>
    <col min="1800" max="1800" width="15.85546875" style="2" customWidth="1"/>
    <col min="1801" max="1801" width="15" style="2" bestFit="1" customWidth="1"/>
    <col min="1802" max="1802" width="15.42578125" style="2" customWidth="1"/>
    <col min="1803" max="1806" width="12.5703125" style="2"/>
    <col min="1807" max="1807" width="14.28515625" style="2" customWidth="1"/>
    <col min="1808" max="2048" width="12.5703125" style="2"/>
    <col min="2049" max="2049" width="50.7109375" style="2" customWidth="1"/>
    <col min="2050" max="2050" width="6.5703125" style="2" customWidth="1"/>
    <col min="2051" max="2051" width="6.140625" style="2" customWidth="1"/>
    <col min="2052" max="2052" width="15.140625" style="2" customWidth="1"/>
    <col min="2053" max="2053" width="14.5703125" style="2" customWidth="1"/>
    <col min="2054" max="2054" width="13.85546875" style="2" customWidth="1"/>
    <col min="2055" max="2055" width="15.42578125" style="2" bestFit="1" customWidth="1"/>
    <col min="2056" max="2056" width="15.85546875" style="2" customWidth="1"/>
    <col min="2057" max="2057" width="15" style="2" bestFit="1" customWidth="1"/>
    <col min="2058" max="2058" width="15.42578125" style="2" customWidth="1"/>
    <col min="2059" max="2062" width="12.5703125" style="2"/>
    <col min="2063" max="2063" width="14.28515625" style="2" customWidth="1"/>
    <col min="2064" max="2304" width="12.5703125" style="2"/>
    <col min="2305" max="2305" width="50.7109375" style="2" customWidth="1"/>
    <col min="2306" max="2306" width="6.5703125" style="2" customWidth="1"/>
    <col min="2307" max="2307" width="6.140625" style="2" customWidth="1"/>
    <col min="2308" max="2308" width="15.140625" style="2" customWidth="1"/>
    <col min="2309" max="2309" width="14.5703125" style="2" customWidth="1"/>
    <col min="2310" max="2310" width="13.85546875" style="2" customWidth="1"/>
    <col min="2311" max="2311" width="15.42578125" style="2" bestFit="1" customWidth="1"/>
    <col min="2312" max="2312" width="15.85546875" style="2" customWidth="1"/>
    <col min="2313" max="2313" width="15" style="2" bestFit="1" customWidth="1"/>
    <col min="2314" max="2314" width="15.42578125" style="2" customWidth="1"/>
    <col min="2315" max="2318" width="12.5703125" style="2"/>
    <col min="2319" max="2319" width="14.28515625" style="2" customWidth="1"/>
    <col min="2320" max="2560" width="12.5703125" style="2"/>
    <col min="2561" max="2561" width="50.7109375" style="2" customWidth="1"/>
    <col min="2562" max="2562" width="6.5703125" style="2" customWidth="1"/>
    <col min="2563" max="2563" width="6.140625" style="2" customWidth="1"/>
    <col min="2564" max="2564" width="15.140625" style="2" customWidth="1"/>
    <col min="2565" max="2565" width="14.5703125" style="2" customWidth="1"/>
    <col min="2566" max="2566" width="13.85546875" style="2" customWidth="1"/>
    <col min="2567" max="2567" width="15.42578125" style="2" bestFit="1" customWidth="1"/>
    <col min="2568" max="2568" width="15.85546875" style="2" customWidth="1"/>
    <col min="2569" max="2569" width="15" style="2" bestFit="1" customWidth="1"/>
    <col min="2570" max="2570" width="15.42578125" style="2" customWidth="1"/>
    <col min="2571" max="2574" width="12.5703125" style="2"/>
    <col min="2575" max="2575" width="14.28515625" style="2" customWidth="1"/>
    <col min="2576" max="2816" width="12.5703125" style="2"/>
    <col min="2817" max="2817" width="50.7109375" style="2" customWidth="1"/>
    <col min="2818" max="2818" width="6.5703125" style="2" customWidth="1"/>
    <col min="2819" max="2819" width="6.140625" style="2" customWidth="1"/>
    <col min="2820" max="2820" width="15.140625" style="2" customWidth="1"/>
    <col min="2821" max="2821" width="14.5703125" style="2" customWidth="1"/>
    <col min="2822" max="2822" width="13.85546875" style="2" customWidth="1"/>
    <col min="2823" max="2823" width="15.42578125" style="2" bestFit="1" customWidth="1"/>
    <col min="2824" max="2824" width="15.85546875" style="2" customWidth="1"/>
    <col min="2825" max="2825" width="15" style="2" bestFit="1" customWidth="1"/>
    <col min="2826" max="2826" width="15.42578125" style="2" customWidth="1"/>
    <col min="2827" max="2830" width="12.5703125" style="2"/>
    <col min="2831" max="2831" width="14.28515625" style="2" customWidth="1"/>
    <col min="2832" max="3072" width="12.5703125" style="2"/>
    <col min="3073" max="3073" width="50.7109375" style="2" customWidth="1"/>
    <col min="3074" max="3074" width="6.5703125" style="2" customWidth="1"/>
    <col min="3075" max="3075" width="6.140625" style="2" customWidth="1"/>
    <col min="3076" max="3076" width="15.140625" style="2" customWidth="1"/>
    <col min="3077" max="3077" width="14.5703125" style="2" customWidth="1"/>
    <col min="3078" max="3078" width="13.85546875" style="2" customWidth="1"/>
    <col min="3079" max="3079" width="15.42578125" style="2" bestFit="1" customWidth="1"/>
    <col min="3080" max="3080" width="15.85546875" style="2" customWidth="1"/>
    <col min="3081" max="3081" width="15" style="2" bestFit="1" customWidth="1"/>
    <col min="3082" max="3082" width="15.42578125" style="2" customWidth="1"/>
    <col min="3083" max="3086" width="12.5703125" style="2"/>
    <col min="3087" max="3087" width="14.28515625" style="2" customWidth="1"/>
    <col min="3088" max="3328" width="12.5703125" style="2"/>
    <col min="3329" max="3329" width="50.7109375" style="2" customWidth="1"/>
    <col min="3330" max="3330" width="6.5703125" style="2" customWidth="1"/>
    <col min="3331" max="3331" width="6.140625" style="2" customWidth="1"/>
    <col min="3332" max="3332" width="15.140625" style="2" customWidth="1"/>
    <col min="3333" max="3333" width="14.5703125" style="2" customWidth="1"/>
    <col min="3334" max="3334" width="13.85546875" style="2" customWidth="1"/>
    <col min="3335" max="3335" width="15.42578125" style="2" bestFit="1" customWidth="1"/>
    <col min="3336" max="3336" width="15.85546875" style="2" customWidth="1"/>
    <col min="3337" max="3337" width="15" style="2" bestFit="1" customWidth="1"/>
    <col min="3338" max="3338" width="15.42578125" style="2" customWidth="1"/>
    <col min="3339" max="3342" width="12.5703125" style="2"/>
    <col min="3343" max="3343" width="14.28515625" style="2" customWidth="1"/>
    <col min="3344" max="3584" width="12.5703125" style="2"/>
    <col min="3585" max="3585" width="50.7109375" style="2" customWidth="1"/>
    <col min="3586" max="3586" width="6.5703125" style="2" customWidth="1"/>
    <col min="3587" max="3587" width="6.140625" style="2" customWidth="1"/>
    <col min="3588" max="3588" width="15.140625" style="2" customWidth="1"/>
    <col min="3589" max="3589" width="14.5703125" style="2" customWidth="1"/>
    <col min="3590" max="3590" width="13.85546875" style="2" customWidth="1"/>
    <col min="3591" max="3591" width="15.42578125" style="2" bestFit="1" customWidth="1"/>
    <col min="3592" max="3592" width="15.85546875" style="2" customWidth="1"/>
    <col min="3593" max="3593" width="15" style="2" bestFit="1" customWidth="1"/>
    <col min="3594" max="3594" width="15.42578125" style="2" customWidth="1"/>
    <col min="3595" max="3598" width="12.5703125" style="2"/>
    <col min="3599" max="3599" width="14.28515625" style="2" customWidth="1"/>
    <col min="3600" max="3840" width="12.5703125" style="2"/>
    <col min="3841" max="3841" width="50.7109375" style="2" customWidth="1"/>
    <col min="3842" max="3842" width="6.5703125" style="2" customWidth="1"/>
    <col min="3843" max="3843" width="6.140625" style="2" customWidth="1"/>
    <col min="3844" max="3844" width="15.140625" style="2" customWidth="1"/>
    <col min="3845" max="3845" width="14.5703125" style="2" customWidth="1"/>
    <col min="3846" max="3846" width="13.85546875" style="2" customWidth="1"/>
    <col min="3847" max="3847" width="15.42578125" style="2" bestFit="1" customWidth="1"/>
    <col min="3848" max="3848" width="15.85546875" style="2" customWidth="1"/>
    <col min="3849" max="3849" width="15" style="2" bestFit="1" customWidth="1"/>
    <col min="3850" max="3850" width="15.42578125" style="2" customWidth="1"/>
    <col min="3851" max="3854" width="12.5703125" style="2"/>
    <col min="3855" max="3855" width="14.28515625" style="2" customWidth="1"/>
    <col min="3856" max="4096" width="12.5703125" style="2"/>
    <col min="4097" max="4097" width="50.7109375" style="2" customWidth="1"/>
    <col min="4098" max="4098" width="6.5703125" style="2" customWidth="1"/>
    <col min="4099" max="4099" width="6.140625" style="2" customWidth="1"/>
    <col min="4100" max="4100" width="15.140625" style="2" customWidth="1"/>
    <col min="4101" max="4101" width="14.5703125" style="2" customWidth="1"/>
    <col min="4102" max="4102" width="13.85546875" style="2" customWidth="1"/>
    <col min="4103" max="4103" width="15.42578125" style="2" bestFit="1" customWidth="1"/>
    <col min="4104" max="4104" width="15.85546875" style="2" customWidth="1"/>
    <col min="4105" max="4105" width="15" style="2" bestFit="1" customWidth="1"/>
    <col min="4106" max="4106" width="15.42578125" style="2" customWidth="1"/>
    <col min="4107" max="4110" width="12.5703125" style="2"/>
    <col min="4111" max="4111" width="14.28515625" style="2" customWidth="1"/>
    <col min="4112" max="4352" width="12.5703125" style="2"/>
    <col min="4353" max="4353" width="50.7109375" style="2" customWidth="1"/>
    <col min="4354" max="4354" width="6.5703125" style="2" customWidth="1"/>
    <col min="4355" max="4355" width="6.140625" style="2" customWidth="1"/>
    <col min="4356" max="4356" width="15.140625" style="2" customWidth="1"/>
    <col min="4357" max="4357" width="14.5703125" style="2" customWidth="1"/>
    <col min="4358" max="4358" width="13.85546875" style="2" customWidth="1"/>
    <col min="4359" max="4359" width="15.42578125" style="2" bestFit="1" customWidth="1"/>
    <col min="4360" max="4360" width="15.85546875" style="2" customWidth="1"/>
    <col min="4361" max="4361" width="15" style="2" bestFit="1" customWidth="1"/>
    <col min="4362" max="4362" width="15.42578125" style="2" customWidth="1"/>
    <col min="4363" max="4366" width="12.5703125" style="2"/>
    <col min="4367" max="4367" width="14.28515625" style="2" customWidth="1"/>
    <col min="4368" max="4608" width="12.5703125" style="2"/>
    <col min="4609" max="4609" width="50.7109375" style="2" customWidth="1"/>
    <col min="4610" max="4610" width="6.5703125" style="2" customWidth="1"/>
    <col min="4611" max="4611" width="6.140625" style="2" customWidth="1"/>
    <col min="4612" max="4612" width="15.140625" style="2" customWidth="1"/>
    <col min="4613" max="4613" width="14.5703125" style="2" customWidth="1"/>
    <col min="4614" max="4614" width="13.85546875" style="2" customWidth="1"/>
    <col min="4615" max="4615" width="15.42578125" style="2" bestFit="1" customWidth="1"/>
    <col min="4616" max="4616" width="15.85546875" style="2" customWidth="1"/>
    <col min="4617" max="4617" width="15" style="2" bestFit="1" customWidth="1"/>
    <col min="4618" max="4618" width="15.42578125" style="2" customWidth="1"/>
    <col min="4619" max="4622" width="12.5703125" style="2"/>
    <col min="4623" max="4623" width="14.28515625" style="2" customWidth="1"/>
    <col min="4624" max="4864" width="12.5703125" style="2"/>
    <col min="4865" max="4865" width="50.7109375" style="2" customWidth="1"/>
    <col min="4866" max="4866" width="6.5703125" style="2" customWidth="1"/>
    <col min="4867" max="4867" width="6.140625" style="2" customWidth="1"/>
    <col min="4868" max="4868" width="15.140625" style="2" customWidth="1"/>
    <col min="4869" max="4869" width="14.5703125" style="2" customWidth="1"/>
    <col min="4870" max="4870" width="13.85546875" style="2" customWidth="1"/>
    <col min="4871" max="4871" width="15.42578125" style="2" bestFit="1" customWidth="1"/>
    <col min="4872" max="4872" width="15.85546875" style="2" customWidth="1"/>
    <col min="4873" max="4873" width="15" style="2" bestFit="1" customWidth="1"/>
    <col min="4874" max="4874" width="15.42578125" style="2" customWidth="1"/>
    <col min="4875" max="4878" width="12.5703125" style="2"/>
    <col min="4879" max="4879" width="14.28515625" style="2" customWidth="1"/>
    <col min="4880" max="5120" width="12.5703125" style="2"/>
    <col min="5121" max="5121" width="50.7109375" style="2" customWidth="1"/>
    <col min="5122" max="5122" width="6.5703125" style="2" customWidth="1"/>
    <col min="5123" max="5123" width="6.140625" style="2" customWidth="1"/>
    <col min="5124" max="5124" width="15.140625" style="2" customWidth="1"/>
    <col min="5125" max="5125" width="14.5703125" style="2" customWidth="1"/>
    <col min="5126" max="5126" width="13.85546875" style="2" customWidth="1"/>
    <col min="5127" max="5127" width="15.42578125" style="2" bestFit="1" customWidth="1"/>
    <col min="5128" max="5128" width="15.85546875" style="2" customWidth="1"/>
    <col min="5129" max="5129" width="15" style="2" bestFit="1" customWidth="1"/>
    <col min="5130" max="5130" width="15.42578125" style="2" customWidth="1"/>
    <col min="5131" max="5134" width="12.5703125" style="2"/>
    <col min="5135" max="5135" width="14.28515625" style="2" customWidth="1"/>
    <col min="5136" max="5376" width="12.5703125" style="2"/>
    <col min="5377" max="5377" width="50.7109375" style="2" customWidth="1"/>
    <col min="5378" max="5378" width="6.5703125" style="2" customWidth="1"/>
    <col min="5379" max="5379" width="6.140625" style="2" customWidth="1"/>
    <col min="5380" max="5380" width="15.140625" style="2" customWidth="1"/>
    <col min="5381" max="5381" width="14.5703125" style="2" customWidth="1"/>
    <col min="5382" max="5382" width="13.85546875" style="2" customWidth="1"/>
    <col min="5383" max="5383" width="15.42578125" style="2" bestFit="1" customWidth="1"/>
    <col min="5384" max="5384" width="15.85546875" style="2" customWidth="1"/>
    <col min="5385" max="5385" width="15" style="2" bestFit="1" customWidth="1"/>
    <col min="5386" max="5386" width="15.42578125" style="2" customWidth="1"/>
    <col min="5387" max="5390" width="12.5703125" style="2"/>
    <col min="5391" max="5391" width="14.28515625" style="2" customWidth="1"/>
    <col min="5392" max="5632" width="12.5703125" style="2"/>
    <col min="5633" max="5633" width="50.7109375" style="2" customWidth="1"/>
    <col min="5634" max="5634" width="6.5703125" style="2" customWidth="1"/>
    <col min="5635" max="5635" width="6.140625" style="2" customWidth="1"/>
    <col min="5636" max="5636" width="15.140625" style="2" customWidth="1"/>
    <col min="5637" max="5637" width="14.5703125" style="2" customWidth="1"/>
    <col min="5638" max="5638" width="13.85546875" style="2" customWidth="1"/>
    <col min="5639" max="5639" width="15.42578125" style="2" bestFit="1" customWidth="1"/>
    <col min="5640" max="5640" width="15.85546875" style="2" customWidth="1"/>
    <col min="5641" max="5641" width="15" style="2" bestFit="1" customWidth="1"/>
    <col min="5642" max="5642" width="15.42578125" style="2" customWidth="1"/>
    <col min="5643" max="5646" width="12.5703125" style="2"/>
    <col min="5647" max="5647" width="14.28515625" style="2" customWidth="1"/>
    <col min="5648" max="5888" width="12.5703125" style="2"/>
    <col min="5889" max="5889" width="50.7109375" style="2" customWidth="1"/>
    <col min="5890" max="5890" width="6.5703125" style="2" customWidth="1"/>
    <col min="5891" max="5891" width="6.140625" style="2" customWidth="1"/>
    <col min="5892" max="5892" width="15.140625" style="2" customWidth="1"/>
    <col min="5893" max="5893" width="14.5703125" style="2" customWidth="1"/>
    <col min="5894" max="5894" width="13.85546875" style="2" customWidth="1"/>
    <col min="5895" max="5895" width="15.42578125" style="2" bestFit="1" customWidth="1"/>
    <col min="5896" max="5896" width="15.85546875" style="2" customWidth="1"/>
    <col min="5897" max="5897" width="15" style="2" bestFit="1" customWidth="1"/>
    <col min="5898" max="5898" width="15.42578125" style="2" customWidth="1"/>
    <col min="5899" max="5902" width="12.5703125" style="2"/>
    <col min="5903" max="5903" width="14.28515625" style="2" customWidth="1"/>
    <col min="5904" max="6144" width="12.5703125" style="2"/>
    <col min="6145" max="6145" width="50.7109375" style="2" customWidth="1"/>
    <col min="6146" max="6146" width="6.5703125" style="2" customWidth="1"/>
    <col min="6147" max="6147" width="6.140625" style="2" customWidth="1"/>
    <col min="6148" max="6148" width="15.140625" style="2" customWidth="1"/>
    <col min="6149" max="6149" width="14.5703125" style="2" customWidth="1"/>
    <col min="6150" max="6150" width="13.85546875" style="2" customWidth="1"/>
    <col min="6151" max="6151" width="15.42578125" style="2" bestFit="1" customWidth="1"/>
    <col min="6152" max="6152" width="15.85546875" style="2" customWidth="1"/>
    <col min="6153" max="6153" width="15" style="2" bestFit="1" customWidth="1"/>
    <col min="6154" max="6154" width="15.42578125" style="2" customWidth="1"/>
    <col min="6155" max="6158" width="12.5703125" style="2"/>
    <col min="6159" max="6159" width="14.28515625" style="2" customWidth="1"/>
    <col min="6160" max="6400" width="12.5703125" style="2"/>
    <col min="6401" max="6401" width="50.7109375" style="2" customWidth="1"/>
    <col min="6402" max="6402" width="6.5703125" style="2" customWidth="1"/>
    <col min="6403" max="6403" width="6.140625" style="2" customWidth="1"/>
    <col min="6404" max="6404" width="15.140625" style="2" customWidth="1"/>
    <col min="6405" max="6405" width="14.5703125" style="2" customWidth="1"/>
    <col min="6406" max="6406" width="13.85546875" style="2" customWidth="1"/>
    <col min="6407" max="6407" width="15.42578125" style="2" bestFit="1" customWidth="1"/>
    <col min="6408" max="6408" width="15.85546875" style="2" customWidth="1"/>
    <col min="6409" max="6409" width="15" style="2" bestFit="1" customWidth="1"/>
    <col min="6410" max="6410" width="15.42578125" style="2" customWidth="1"/>
    <col min="6411" max="6414" width="12.5703125" style="2"/>
    <col min="6415" max="6415" width="14.28515625" style="2" customWidth="1"/>
    <col min="6416" max="6656" width="12.5703125" style="2"/>
    <col min="6657" max="6657" width="50.7109375" style="2" customWidth="1"/>
    <col min="6658" max="6658" width="6.5703125" style="2" customWidth="1"/>
    <col min="6659" max="6659" width="6.140625" style="2" customWidth="1"/>
    <col min="6660" max="6660" width="15.140625" style="2" customWidth="1"/>
    <col min="6661" max="6661" width="14.5703125" style="2" customWidth="1"/>
    <col min="6662" max="6662" width="13.85546875" style="2" customWidth="1"/>
    <col min="6663" max="6663" width="15.42578125" style="2" bestFit="1" customWidth="1"/>
    <col min="6664" max="6664" width="15.85546875" style="2" customWidth="1"/>
    <col min="6665" max="6665" width="15" style="2" bestFit="1" customWidth="1"/>
    <col min="6666" max="6666" width="15.42578125" style="2" customWidth="1"/>
    <col min="6667" max="6670" width="12.5703125" style="2"/>
    <col min="6671" max="6671" width="14.28515625" style="2" customWidth="1"/>
    <col min="6672" max="6912" width="12.5703125" style="2"/>
    <col min="6913" max="6913" width="50.7109375" style="2" customWidth="1"/>
    <col min="6914" max="6914" width="6.5703125" style="2" customWidth="1"/>
    <col min="6915" max="6915" width="6.140625" style="2" customWidth="1"/>
    <col min="6916" max="6916" width="15.140625" style="2" customWidth="1"/>
    <col min="6917" max="6917" width="14.5703125" style="2" customWidth="1"/>
    <col min="6918" max="6918" width="13.85546875" style="2" customWidth="1"/>
    <col min="6919" max="6919" width="15.42578125" style="2" bestFit="1" customWidth="1"/>
    <col min="6920" max="6920" width="15.85546875" style="2" customWidth="1"/>
    <col min="6921" max="6921" width="15" style="2" bestFit="1" customWidth="1"/>
    <col min="6922" max="6922" width="15.42578125" style="2" customWidth="1"/>
    <col min="6923" max="6926" width="12.5703125" style="2"/>
    <col min="6927" max="6927" width="14.28515625" style="2" customWidth="1"/>
    <col min="6928" max="7168" width="12.5703125" style="2"/>
    <col min="7169" max="7169" width="50.7109375" style="2" customWidth="1"/>
    <col min="7170" max="7170" width="6.5703125" style="2" customWidth="1"/>
    <col min="7171" max="7171" width="6.140625" style="2" customWidth="1"/>
    <col min="7172" max="7172" width="15.140625" style="2" customWidth="1"/>
    <col min="7173" max="7173" width="14.5703125" style="2" customWidth="1"/>
    <col min="7174" max="7174" width="13.85546875" style="2" customWidth="1"/>
    <col min="7175" max="7175" width="15.42578125" style="2" bestFit="1" customWidth="1"/>
    <col min="7176" max="7176" width="15.85546875" style="2" customWidth="1"/>
    <col min="7177" max="7177" width="15" style="2" bestFit="1" customWidth="1"/>
    <col min="7178" max="7178" width="15.42578125" style="2" customWidth="1"/>
    <col min="7179" max="7182" width="12.5703125" style="2"/>
    <col min="7183" max="7183" width="14.28515625" style="2" customWidth="1"/>
    <col min="7184" max="7424" width="12.5703125" style="2"/>
    <col min="7425" max="7425" width="50.7109375" style="2" customWidth="1"/>
    <col min="7426" max="7426" width="6.5703125" style="2" customWidth="1"/>
    <col min="7427" max="7427" width="6.140625" style="2" customWidth="1"/>
    <col min="7428" max="7428" width="15.140625" style="2" customWidth="1"/>
    <col min="7429" max="7429" width="14.5703125" style="2" customWidth="1"/>
    <col min="7430" max="7430" width="13.85546875" style="2" customWidth="1"/>
    <col min="7431" max="7431" width="15.42578125" style="2" bestFit="1" customWidth="1"/>
    <col min="7432" max="7432" width="15.85546875" style="2" customWidth="1"/>
    <col min="7433" max="7433" width="15" style="2" bestFit="1" customWidth="1"/>
    <col min="7434" max="7434" width="15.42578125" style="2" customWidth="1"/>
    <col min="7435" max="7438" width="12.5703125" style="2"/>
    <col min="7439" max="7439" width="14.28515625" style="2" customWidth="1"/>
    <col min="7440" max="7680" width="12.5703125" style="2"/>
    <col min="7681" max="7681" width="50.7109375" style="2" customWidth="1"/>
    <col min="7682" max="7682" width="6.5703125" style="2" customWidth="1"/>
    <col min="7683" max="7683" width="6.140625" style="2" customWidth="1"/>
    <col min="7684" max="7684" width="15.140625" style="2" customWidth="1"/>
    <col min="7685" max="7685" width="14.5703125" style="2" customWidth="1"/>
    <col min="7686" max="7686" width="13.85546875" style="2" customWidth="1"/>
    <col min="7687" max="7687" width="15.42578125" style="2" bestFit="1" customWidth="1"/>
    <col min="7688" max="7688" width="15.85546875" style="2" customWidth="1"/>
    <col min="7689" max="7689" width="15" style="2" bestFit="1" customWidth="1"/>
    <col min="7690" max="7690" width="15.42578125" style="2" customWidth="1"/>
    <col min="7691" max="7694" width="12.5703125" style="2"/>
    <col min="7695" max="7695" width="14.28515625" style="2" customWidth="1"/>
    <col min="7696" max="7936" width="12.5703125" style="2"/>
    <col min="7937" max="7937" width="50.7109375" style="2" customWidth="1"/>
    <col min="7938" max="7938" width="6.5703125" style="2" customWidth="1"/>
    <col min="7939" max="7939" width="6.140625" style="2" customWidth="1"/>
    <col min="7940" max="7940" width="15.140625" style="2" customWidth="1"/>
    <col min="7941" max="7941" width="14.5703125" style="2" customWidth="1"/>
    <col min="7942" max="7942" width="13.85546875" style="2" customWidth="1"/>
    <col min="7943" max="7943" width="15.42578125" style="2" bestFit="1" customWidth="1"/>
    <col min="7944" max="7944" width="15.85546875" style="2" customWidth="1"/>
    <col min="7945" max="7945" width="15" style="2" bestFit="1" customWidth="1"/>
    <col min="7946" max="7946" width="15.42578125" style="2" customWidth="1"/>
    <col min="7947" max="7950" width="12.5703125" style="2"/>
    <col min="7951" max="7951" width="14.28515625" style="2" customWidth="1"/>
    <col min="7952" max="8192" width="12.5703125" style="2"/>
    <col min="8193" max="8193" width="50.7109375" style="2" customWidth="1"/>
    <col min="8194" max="8194" width="6.5703125" style="2" customWidth="1"/>
    <col min="8195" max="8195" width="6.140625" style="2" customWidth="1"/>
    <col min="8196" max="8196" width="15.140625" style="2" customWidth="1"/>
    <col min="8197" max="8197" width="14.5703125" style="2" customWidth="1"/>
    <col min="8198" max="8198" width="13.85546875" style="2" customWidth="1"/>
    <col min="8199" max="8199" width="15.42578125" style="2" bestFit="1" customWidth="1"/>
    <col min="8200" max="8200" width="15.85546875" style="2" customWidth="1"/>
    <col min="8201" max="8201" width="15" style="2" bestFit="1" customWidth="1"/>
    <col min="8202" max="8202" width="15.42578125" style="2" customWidth="1"/>
    <col min="8203" max="8206" width="12.5703125" style="2"/>
    <col min="8207" max="8207" width="14.28515625" style="2" customWidth="1"/>
    <col min="8208" max="8448" width="12.5703125" style="2"/>
    <col min="8449" max="8449" width="50.7109375" style="2" customWidth="1"/>
    <col min="8450" max="8450" width="6.5703125" style="2" customWidth="1"/>
    <col min="8451" max="8451" width="6.140625" style="2" customWidth="1"/>
    <col min="8452" max="8452" width="15.140625" style="2" customWidth="1"/>
    <col min="8453" max="8453" width="14.5703125" style="2" customWidth="1"/>
    <col min="8454" max="8454" width="13.85546875" style="2" customWidth="1"/>
    <col min="8455" max="8455" width="15.42578125" style="2" bestFit="1" customWidth="1"/>
    <col min="8456" max="8456" width="15.85546875" style="2" customWidth="1"/>
    <col min="8457" max="8457" width="15" style="2" bestFit="1" customWidth="1"/>
    <col min="8458" max="8458" width="15.42578125" style="2" customWidth="1"/>
    <col min="8459" max="8462" width="12.5703125" style="2"/>
    <col min="8463" max="8463" width="14.28515625" style="2" customWidth="1"/>
    <col min="8464" max="8704" width="12.5703125" style="2"/>
    <col min="8705" max="8705" width="50.7109375" style="2" customWidth="1"/>
    <col min="8706" max="8706" width="6.5703125" style="2" customWidth="1"/>
    <col min="8707" max="8707" width="6.140625" style="2" customWidth="1"/>
    <col min="8708" max="8708" width="15.140625" style="2" customWidth="1"/>
    <col min="8709" max="8709" width="14.5703125" style="2" customWidth="1"/>
    <col min="8710" max="8710" width="13.85546875" style="2" customWidth="1"/>
    <col min="8711" max="8711" width="15.42578125" style="2" bestFit="1" customWidth="1"/>
    <col min="8712" max="8712" width="15.85546875" style="2" customWidth="1"/>
    <col min="8713" max="8713" width="15" style="2" bestFit="1" customWidth="1"/>
    <col min="8714" max="8714" width="15.42578125" style="2" customWidth="1"/>
    <col min="8715" max="8718" width="12.5703125" style="2"/>
    <col min="8719" max="8719" width="14.28515625" style="2" customWidth="1"/>
    <col min="8720" max="8960" width="12.5703125" style="2"/>
    <col min="8961" max="8961" width="50.7109375" style="2" customWidth="1"/>
    <col min="8962" max="8962" width="6.5703125" style="2" customWidth="1"/>
    <col min="8963" max="8963" width="6.140625" style="2" customWidth="1"/>
    <col min="8964" max="8964" width="15.140625" style="2" customWidth="1"/>
    <col min="8965" max="8965" width="14.5703125" style="2" customWidth="1"/>
    <col min="8966" max="8966" width="13.85546875" style="2" customWidth="1"/>
    <col min="8967" max="8967" width="15.42578125" style="2" bestFit="1" customWidth="1"/>
    <col min="8968" max="8968" width="15.85546875" style="2" customWidth="1"/>
    <col min="8969" max="8969" width="15" style="2" bestFit="1" customWidth="1"/>
    <col min="8970" max="8970" width="15.42578125" style="2" customWidth="1"/>
    <col min="8971" max="8974" width="12.5703125" style="2"/>
    <col min="8975" max="8975" width="14.28515625" style="2" customWidth="1"/>
    <col min="8976" max="9216" width="12.5703125" style="2"/>
    <col min="9217" max="9217" width="50.7109375" style="2" customWidth="1"/>
    <col min="9218" max="9218" width="6.5703125" style="2" customWidth="1"/>
    <col min="9219" max="9219" width="6.140625" style="2" customWidth="1"/>
    <col min="9220" max="9220" width="15.140625" style="2" customWidth="1"/>
    <col min="9221" max="9221" width="14.5703125" style="2" customWidth="1"/>
    <col min="9222" max="9222" width="13.85546875" style="2" customWidth="1"/>
    <col min="9223" max="9223" width="15.42578125" style="2" bestFit="1" customWidth="1"/>
    <col min="9224" max="9224" width="15.85546875" style="2" customWidth="1"/>
    <col min="9225" max="9225" width="15" style="2" bestFit="1" customWidth="1"/>
    <col min="9226" max="9226" width="15.42578125" style="2" customWidth="1"/>
    <col min="9227" max="9230" width="12.5703125" style="2"/>
    <col min="9231" max="9231" width="14.28515625" style="2" customWidth="1"/>
    <col min="9232" max="9472" width="12.5703125" style="2"/>
    <col min="9473" max="9473" width="50.7109375" style="2" customWidth="1"/>
    <col min="9474" max="9474" width="6.5703125" style="2" customWidth="1"/>
    <col min="9475" max="9475" width="6.140625" style="2" customWidth="1"/>
    <col min="9476" max="9476" width="15.140625" style="2" customWidth="1"/>
    <col min="9477" max="9477" width="14.5703125" style="2" customWidth="1"/>
    <col min="9478" max="9478" width="13.85546875" style="2" customWidth="1"/>
    <col min="9479" max="9479" width="15.42578125" style="2" bestFit="1" customWidth="1"/>
    <col min="9480" max="9480" width="15.85546875" style="2" customWidth="1"/>
    <col min="9481" max="9481" width="15" style="2" bestFit="1" customWidth="1"/>
    <col min="9482" max="9482" width="15.42578125" style="2" customWidth="1"/>
    <col min="9483" max="9486" width="12.5703125" style="2"/>
    <col min="9487" max="9487" width="14.28515625" style="2" customWidth="1"/>
    <col min="9488" max="9728" width="12.5703125" style="2"/>
    <col min="9729" max="9729" width="50.7109375" style="2" customWidth="1"/>
    <col min="9730" max="9730" width="6.5703125" style="2" customWidth="1"/>
    <col min="9731" max="9731" width="6.140625" style="2" customWidth="1"/>
    <col min="9732" max="9732" width="15.140625" style="2" customWidth="1"/>
    <col min="9733" max="9733" width="14.5703125" style="2" customWidth="1"/>
    <col min="9734" max="9734" width="13.85546875" style="2" customWidth="1"/>
    <col min="9735" max="9735" width="15.42578125" style="2" bestFit="1" customWidth="1"/>
    <col min="9736" max="9736" width="15.85546875" style="2" customWidth="1"/>
    <col min="9737" max="9737" width="15" style="2" bestFit="1" customWidth="1"/>
    <col min="9738" max="9738" width="15.42578125" style="2" customWidth="1"/>
    <col min="9739" max="9742" width="12.5703125" style="2"/>
    <col min="9743" max="9743" width="14.28515625" style="2" customWidth="1"/>
    <col min="9744" max="9984" width="12.5703125" style="2"/>
    <col min="9985" max="9985" width="50.7109375" style="2" customWidth="1"/>
    <col min="9986" max="9986" width="6.5703125" style="2" customWidth="1"/>
    <col min="9987" max="9987" width="6.140625" style="2" customWidth="1"/>
    <col min="9988" max="9988" width="15.140625" style="2" customWidth="1"/>
    <col min="9989" max="9989" width="14.5703125" style="2" customWidth="1"/>
    <col min="9990" max="9990" width="13.85546875" style="2" customWidth="1"/>
    <col min="9991" max="9991" width="15.42578125" style="2" bestFit="1" customWidth="1"/>
    <col min="9992" max="9992" width="15.85546875" style="2" customWidth="1"/>
    <col min="9993" max="9993" width="15" style="2" bestFit="1" customWidth="1"/>
    <col min="9994" max="9994" width="15.42578125" style="2" customWidth="1"/>
    <col min="9995" max="9998" width="12.5703125" style="2"/>
    <col min="9999" max="9999" width="14.28515625" style="2" customWidth="1"/>
    <col min="10000" max="10240" width="12.5703125" style="2"/>
    <col min="10241" max="10241" width="50.7109375" style="2" customWidth="1"/>
    <col min="10242" max="10242" width="6.5703125" style="2" customWidth="1"/>
    <col min="10243" max="10243" width="6.140625" style="2" customWidth="1"/>
    <col min="10244" max="10244" width="15.140625" style="2" customWidth="1"/>
    <col min="10245" max="10245" width="14.5703125" style="2" customWidth="1"/>
    <col min="10246" max="10246" width="13.85546875" style="2" customWidth="1"/>
    <col min="10247" max="10247" width="15.42578125" style="2" bestFit="1" customWidth="1"/>
    <col min="10248" max="10248" width="15.85546875" style="2" customWidth="1"/>
    <col min="10249" max="10249" width="15" style="2" bestFit="1" customWidth="1"/>
    <col min="10250" max="10250" width="15.42578125" style="2" customWidth="1"/>
    <col min="10251" max="10254" width="12.5703125" style="2"/>
    <col min="10255" max="10255" width="14.28515625" style="2" customWidth="1"/>
    <col min="10256" max="10496" width="12.5703125" style="2"/>
    <col min="10497" max="10497" width="50.7109375" style="2" customWidth="1"/>
    <col min="10498" max="10498" width="6.5703125" style="2" customWidth="1"/>
    <col min="10499" max="10499" width="6.140625" style="2" customWidth="1"/>
    <col min="10500" max="10500" width="15.140625" style="2" customWidth="1"/>
    <col min="10501" max="10501" width="14.5703125" style="2" customWidth="1"/>
    <col min="10502" max="10502" width="13.85546875" style="2" customWidth="1"/>
    <col min="10503" max="10503" width="15.42578125" style="2" bestFit="1" customWidth="1"/>
    <col min="10504" max="10504" width="15.85546875" style="2" customWidth="1"/>
    <col min="10505" max="10505" width="15" style="2" bestFit="1" customWidth="1"/>
    <col min="10506" max="10506" width="15.42578125" style="2" customWidth="1"/>
    <col min="10507" max="10510" width="12.5703125" style="2"/>
    <col min="10511" max="10511" width="14.28515625" style="2" customWidth="1"/>
    <col min="10512" max="10752" width="12.5703125" style="2"/>
    <col min="10753" max="10753" width="50.7109375" style="2" customWidth="1"/>
    <col min="10754" max="10754" width="6.5703125" style="2" customWidth="1"/>
    <col min="10755" max="10755" width="6.140625" style="2" customWidth="1"/>
    <col min="10756" max="10756" width="15.140625" style="2" customWidth="1"/>
    <col min="10757" max="10757" width="14.5703125" style="2" customWidth="1"/>
    <col min="10758" max="10758" width="13.85546875" style="2" customWidth="1"/>
    <col min="10759" max="10759" width="15.42578125" style="2" bestFit="1" customWidth="1"/>
    <col min="10760" max="10760" width="15.85546875" style="2" customWidth="1"/>
    <col min="10761" max="10761" width="15" style="2" bestFit="1" customWidth="1"/>
    <col min="10762" max="10762" width="15.42578125" style="2" customWidth="1"/>
    <col min="10763" max="10766" width="12.5703125" style="2"/>
    <col min="10767" max="10767" width="14.28515625" style="2" customWidth="1"/>
    <col min="10768" max="11008" width="12.5703125" style="2"/>
    <col min="11009" max="11009" width="50.7109375" style="2" customWidth="1"/>
    <col min="11010" max="11010" width="6.5703125" style="2" customWidth="1"/>
    <col min="11011" max="11011" width="6.140625" style="2" customWidth="1"/>
    <col min="11012" max="11012" width="15.140625" style="2" customWidth="1"/>
    <col min="11013" max="11013" width="14.5703125" style="2" customWidth="1"/>
    <col min="11014" max="11014" width="13.85546875" style="2" customWidth="1"/>
    <col min="11015" max="11015" width="15.42578125" style="2" bestFit="1" customWidth="1"/>
    <col min="11016" max="11016" width="15.85546875" style="2" customWidth="1"/>
    <col min="11017" max="11017" width="15" style="2" bestFit="1" customWidth="1"/>
    <col min="11018" max="11018" width="15.42578125" style="2" customWidth="1"/>
    <col min="11019" max="11022" width="12.5703125" style="2"/>
    <col min="11023" max="11023" width="14.28515625" style="2" customWidth="1"/>
    <col min="11024" max="11264" width="12.5703125" style="2"/>
    <col min="11265" max="11265" width="50.7109375" style="2" customWidth="1"/>
    <col min="11266" max="11266" width="6.5703125" style="2" customWidth="1"/>
    <col min="11267" max="11267" width="6.140625" style="2" customWidth="1"/>
    <col min="11268" max="11268" width="15.140625" style="2" customWidth="1"/>
    <col min="11269" max="11269" width="14.5703125" style="2" customWidth="1"/>
    <col min="11270" max="11270" width="13.85546875" style="2" customWidth="1"/>
    <col min="11271" max="11271" width="15.42578125" style="2" bestFit="1" customWidth="1"/>
    <col min="11272" max="11272" width="15.85546875" style="2" customWidth="1"/>
    <col min="11273" max="11273" width="15" style="2" bestFit="1" customWidth="1"/>
    <col min="11274" max="11274" width="15.42578125" style="2" customWidth="1"/>
    <col min="11275" max="11278" width="12.5703125" style="2"/>
    <col min="11279" max="11279" width="14.28515625" style="2" customWidth="1"/>
    <col min="11280" max="11520" width="12.5703125" style="2"/>
    <col min="11521" max="11521" width="50.7109375" style="2" customWidth="1"/>
    <col min="11522" max="11522" width="6.5703125" style="2" customWidth="1"/>
    <col min="11523" max="11523" width="6.140625" style="2" customWidth="1"/>
    <col min="11524" max="11524" width="15.140625" style="2" customWidth="1"/>
    <col min="11525" max="11525" width="14.5703125" style="2" customWidth="1"/>
    <col min="11526" max="11526" width="13.85546875" style="2" customWidth="1"/>
    <col min="11527" max="11527" width="15.42578125" style="2" bestFit="1" customWidth="1"/>
    <col min="11528" max="11528" width="15.85546875" style="2" customWidth="1"/>
    <col min="11529" max="11529" width="15" style="2" bestFit="1" customWidth="1"/>
    <col min="11530" max="11530" width="15.42578125" style="2" customWidth="1"/>
    <col min="11531" max="11534" width="12.5703125" style="2"/>
    <col min="11535" max="11535" width="14.28515625" style="2" customWidth="1"/>
    <col min="11536" max="11776" width="12.5703125" style="2"/>
    <col min="11777" max="11777" width="50.7109375" style="2" customWidth="1"/>
    <col min="11778" max="11778" width="6.5703125" style="2" customWidth="1"/>
    <col min="11779" max="11779" width="6.140625" style="2" customWidth="1"/>
    <col min="11780" max="11780" width="15.140625" style="2" customWidth="1"/>
    <col min="11781" max="11781" width="14.5703125" style="2" customWidth="1"/>
    <col min="11782" max="11782" width="13.85546875" style="2" customWidth="1"/>
    <col min="11783" max="11783" width="15.42578125" style="2" bestFit="1" customWidth="1"/>
    <col min="11784" max="11784" width="15.85546875" style="2" customWidth="1"/>
    <col min="11785" max="11785" width="15" style="2" bestFit="1" customWidth="1"/>
    <col min="11786" max="11786" width="15.42578125" style="2" customWidth="1"/>
    <col min="11787" max="11790" width="12.5703125" style="2"/>
    <col min="11791" max="11791" width="14.28515625" style="2" customWidth="1"/>
    <col min="11792" max="12032" width="12.5703125" style="2"/>
    <col min="12033" max="12033" width="50.7109375" style="2" customWidth="1"/>
    <col min="12034" max="12034" width="6.5703125" style="2" customWidth="1"/>
    <col min="12035" max="12035" width="6.140625" style="2" customWidth="1"/>
    <col min="12036" max="12036" width="15.140625" style="2" customWidth="1"/>
    <col min="12037" max="12037" width="14.5703125" style="2" customWidth="1"/>
    <col min="12038" max="12038" width="13.85546875" style="2" customWidth="1"/>
    <col min="12039" max="12039" width="15.42578125" style="2" bestFit="1" customWidth="1"/>
    <col min="12040" max="12040" width="15.85546875" style="2" customWidth="1"/>
    <col min="12041" max="12041" width="15" style="2" bestFit="1" customWidth="1"/>
    <col min="12042" max="12042" width="15.42578125" style="2" customWidth="1"/>
    <col min="12043" max="12046" width="12.5703125" style="2"/>
    <col min="12047" max="12047" width="14.28515625" style="2" customWidth="1"/>
    <col min="12048" max="12288" width="12.5703125" style="2"/>
    <col min="12289" max="12289" width="50.7109375" style="2" customWidth="1"/>
    <col min="12290" max="12290" width="6.5703125" style="2" customWidth="1"/>
    <col min="12291" max="12291" width="6.140625" style="2" customWidth="1"/>
    <col min="12292" max="12292" width="15.140625" style="2" customWidth="1"/>
    <col min="12293" max="12293" width="14.5703125" style="2" customWidth="1"/>
    <col min="12294" max="12294" width="13.85546875" style="2" customWidth="1"/>
    <col min="12295" max="12295" width="15.42578125" style="2" bestFit="1" customWidth="1"/>
    <col min="12296" max="12296" width="15.85546875" style="2" customWidth="1"/>
    <col min="12297" max="12297" width="15" style="2" bestFit="1" customWidth="1"/>
    <col min="12298" max="12298" width="15.42578125" style="2" customWidth="1"/>
    <col min="12299" max="12302" width="12.5703125" style="2"/>
    <col min="12303" max="12303" width="14.28515625" style="2" customWidth="1"/>
    <col min="12304" max="12544" width="12.5703125" style="2"/>
    <col min="12545" max="12545" width="50.7109375" style="2" customWidth="1"/>
    <col min="12546" max="12546" width="6.5703125" style="2" customWidth="1"/>
    <col min="12547" max="12547" width="6.140625" style="2" customWidth="1"/>
    <col min="12548" max="12548" width="15.140625" style="2" customWidth="1"/>
    <col min="12549" max="12549" width="14.5703125" style="2" customWidth="1"/>
    <col min="12550" max="12550" width="13.85546875" style="2" customWidth="1"/>
    <col min="12551" max="12551" width="15.42578125" style="2" bestFit="1" customWidth="1"/>
    <col min="12552" max="12552" width="15.85546875" style="2" customWidth="1"/>
    <col min="12553" max="12553" width="15" style="2" bestFit="1" customWidth="1"/>
    <col min="12554" max="12554" width="15.42578125" style="2" customWidth="1"/>
    <col min="12555" max="12558" width="12.5703125" style="2"/>
    <col min="12559" max="12559" width="14.28515625" style="2" customWidth="1"/>
    <col min="12560" max="12800" width="12.5703125" style="2"/>
    <col min="12801" max="12801" width="50.7109375" style="2" customWidth="1"/>
    <col min="12802" max="12802" width="6.5703125" style="2" customWidth="1"/>
    <col min="12803" max="12803" width="6.140625" style="2" customWidth="1"/>
    <col min="12804" max="12804" width="15.140625" style="2" customWidth="1"/>
    <col min="12805" max="12805" width="14.5703125" style="2" customWidth="1"/>
    <col min="12806" max="12806" width="13.85546875" style="2" customWidth="1"/>
    <col min="12807" max="12807" width="15.42578125" style="2" bestFit="1" customWidth="1"/>
    <col min="12808" max="12808" width="15.85546875" style="2" customWidth="1"/>
    <col min="12809" max="12809" width="15" style="2" bestFit="1" customWidth="1"/>
    <col min="12810" max="12810" width="15.42578125" style="2" customWidth="1"/>
    <col min="12811" max="12814" width="12.5703125" style="2"/>
    <col min="12815" max="12815" width="14.28515625" style="2" customWidth="1"/>
    <col min="12816" max="13056" width="12.5703125" style="2"/>
    <col min="13057" max="13057" width="50.7109375" style="2" customWidth="1"/>
    <col min="13058" max="13058" width="6.5703125" style="2" customWidth="1"/>
    <col min="13059" max="13059" width="6.140625" style="2" customWidth="1"/>
    <col min="13060" max="13060" width="15.140625" style="2" customWidth="1"/>
    <col min="13061" max="13061" width="14.5703125" style="2" customWidth="1"/>
    <col min="13062" max="13062" width="13.85546875" style="2" customWidth="1"/>
    <col min="13063" max="13063" width="15.42578125" style="2" bestFit="1" customWidth="1"/>
    <col min="13064" max="13064" width="15.85546875" style="2" customWidth="1"/>
    <col min="13065" max="13065" width="15" style="2" bestFit="1" customWidth="1"/>
    <col min="13066" max="13066" width="15.42578125" style="2" customWidth="1"/>
    <col min="13067" max="13070" width="12.5703125" style="2"/>
    <col min="13071" max="13071" width="14.28515625" style="2" customWidth="1"/>
    <col min="13072" max="13312" width="12.5703125" style="2"/>
    <col min="13313" max="13313" width="50.7109375" style="2" customWidth="1"/>
    <col min="13314" max="13314" width="6.5703125" style="2" customWidth="1"/>
    <col min="13315" max="13315" width="6.140625" style="2" customWidth="1"/>
    <col min="13316" max="13316" width="15.140625" style="2" customWidth="1"/>
    <col min="13317" max="13317" width="14.5703125" style="2" customWidth="1"/>
    <col min="13318" max="13318" width="13.85546875" style="2" customWidth="1"/>
    <col min="13319" max="13319" width="15.42578125" style="2" bestFit="1" customWidth="1"/>
    <col min="13320" max="13320" width="15.85546875" style="2" customWidth="1"/>
    <col min="13321" max="13321" width="15" style="2" bestFit="1" customWidth="1"/>
    <col min="13322" max="13322" width="15.42578125" style="2" customWidth="1"/>
    <col min="13323" max="13326" width="12.5703125" style="2"/>
    <col min="13327" max="13327" width="14.28515625" style="2" customWidth="1"/>
    <col min="13328" max="13568" width="12.5703125" style="2"/>
    <col min="13569" max="13569" width="50.7109375" style="2" customWidth="1"/>
    <col min="13570" max="13570" width="6.5703125" style="2" customWidth="1"/>
    <col min="13571" max="13571" width="6.140625" style="2" customWidth="1"/>
    <col min="13572" max="13572" width="15.140625" style="2" customWidth="1"/>
    <col min="13573" max="13573" width="14.5703125" style="2" customWidth="1"/>
    <col min="13574" max="13574" width="13.85546875" style="2" customWidth="1"/>
    <col min="13575" max="13575" width="15.42578125" style="2" bestFit="1" customWidth="1"/>
    <col min="13576" max="13576" width="15.85546875" style="2" customWidth="1"/>
    <col min="13577" max="13577" width="15" style="2" bestFit="1" customWidth="1"/>
    <col min="13578" max="13578" width="15.42578125" style="2" customWidth="1"/>
    <col min="13579" max="13582" width="12.5703125" style="2"/>
    <col min="13583" max="13583" width="14.28515625" style="2" customWidth="1"/>
    <col min="13584" max="13824" width="12.5703125" style="2"/>
    <col min="13825" max="13825" width="50.7109375" style="2" customWidth="1"/>
    <col min="13826" max="13826" width="6.5703125" style="2" customWidth="1"/>
    <col min="13827" max="13827" width="6.140625" style="2" customWidth="1"/>
    <col min="13828" max="13828" width="15.140625" style="2" customWidth="1"/>
    <col min="13829" max="13829" width="14.5703125" style="2" customWidth="1"/>
    <col min="13830" max="13830" width="13.85546875" style="2" customWidth="1"/>
    <col min="13831" max="13831" width="15.42578125" style="2" bestFit="1" customWidth="1"/>
    <col min="13832" max="13832" width="15.85546875" style="2" customWidth="1"/>
    <col min="13833" max="13833" width="15" style="2" bestFit="1" customWidth="1"/>
    <col min="13834" max="13834" width="15.42578125" style="2" customWidth="1"/>
    <col min="13835" max="13838" width="12.5703125" style="2"/>
    <col min="13839" max="13839" width="14.28515625" style="2" customWidth="1"/>
    <col min="13840" max="14080" width="12.5703125" style="2"/>
    <col min="14081" max="14081" width="50.7109375" style="2" customWidth="1"/>
    <col min="14082" max="14082" width="6.5703125" style="2" customWidth="1"/>
    <col min="14083" max="14083" width="6.140625" style="2" customWidth="1"/>
    <col min="14084" max="14084" width="15.140625" style="2" customWidth="1"/>
    <col min="14085" max="14085" width="14.5703125" style="2" customWidth="1"/>
    <col min="14086" max="14086" width="13.85546875" style="2" customWidth="1"/>
    <col min="14087" max="14087" width="15.42578125" style="2" bestFit="1" customWidth="1"/>
    <col min="14088" max="14088" width="15.85546875" style="2" customWidth="1"/>
    <col min="14089" max="14089" width="15" style="2" bestFit="1" customWidth="1"/>
    <col min="14090" max="14090" width="15.42578125" style="2" customWidth="1"/>
    <col min="14091" max="14094" width="12.5703125" style="2"/>
    <col min="14095" max="14095" width="14.28515625" style="2" customWidth="1"/>
    <col min="14096" max="14336" width="12.5703125" style="2"/>
    <col min="14337" max="14337" width="50.7109375" style="2" customWidth="1"/>
    <col min="14338" max="14338" width="6.5703125" style="2" customWidth="1"/>
    <col min="14339" max="14339" width="6.140625" style="2" customWidth="1"/>
    <col min="14340" max="14340" width="15.140625" style="2" customWidth="1"/>
    <col min="14341" max="14341" width="14.5703125" style="2" customWidth="1"/>
    <col min="14342" max="14342" width="13.85546875" style="2" customWidth="1"/>
    <col min="14343" max="14343" width="15.42578125" style="2" bestFit="1" customWidth="1"/>
    <col min="14344" max="14344" width="15.85546875" style="2" customWidth="1"/>
    <col min="14345" max="14345" width="15" style="2" bestFit="1" customWidth="1"/>
    <col min="14346" max="14346" width="15.42578125" style="2" customWidth="1"/>
    <col min="14347" max="14350" width="12.5703125" style="2"/>
    <col min="14351" max="14351" width="14.28515625" style="2" customWidth="1"/>
    <col min="14352" max="14592" width="12.5703125" style="2"/>
    <col min="14593" max="14593" width="50.7109375" style="2" customWidth="1"/>
    <col min="14594" max="14594" width="6.5703125" style="2" customWidth="1"/>
    <col min="14595" max="14595" width="6.140625" style="2" customWidth="1"/>
    <col min="14596" max="14596" width="15.140625" style="2" customWidth="1"/>
    <col min="14597" max="14597" width="14.5703125" style="2" customWidth="1"/>
    <col min="14598" max="14598" width="13.85546875" style="2" customWidth="1"/>
    <col min="14599" max="14599" width="15.42578125" style="2" bestFit="1" customWidth="1"/>
    <col min="14600" max="14600" width="15.85546875" style="2" customWidth="1"/>
    <col min="14601" max="14601" width="15" style="2" bestFit="1" customWidth="1"/>
    <col min="14602" max="14602" width="15.42578125" style="2" customWidth="1"/>
    <col min="14603" max="14606" width="12.5703125" style="2"/>
    <col min="14607" max="14607" width="14.28515625" style="2" customWidth="1"/>
    <col min="14608" max="14848" width="12.5703125" style="2"/>
    <col min="14849" max="14849" width="50.7109375" style="2" customWidth="1"/>
    <col min="14850" max="14850" width="6.5703125" style="2" customWidth="1"/>
    <col min="14851" max="14851" width="6.140625" style="2" customWidth="1"/>
    <col min="14852" max="14852" width="15.140625" style="2" customWidth="1"/>
    <col min="14853" max="14853" width="14.5703125" style="2" customWidth="1"/>
    <col min="14854" max="14854" width="13.85546875" style="2" customWidth="1"/>
    <col min="14855" max="14855" width="15.42578125" style="2" bestFit="1" customWidth="1"/>
    <col min="14856" max="14856" width="15.85546875" style="2" customWidth="1"/>
    <col min="14857" max="14857" width="15" style="2" bestFit="1" customWidth="1"/>
    <col min="14858" max="14858" width="15.42578125" style="2" customWidth="1"/>
    <col min="14859" max="14862" width="12.5703125" style="2"/>
    <col min="14863" max="14863" width="14.28515625" style="2" customWidth="1"/>
    <col min="14864" max="15104" width="12.5703125" style="2"/>
    <col min="15105" max="15105" width="50.7109375" style="2" customWidth="1"/>
    <col min="15106" max="15106" width="6.5703125" style="2" customWidth="1"/>
    <col min="15107" max="15107" width="6.140625" style="2" customWidth="1"/>
    <col min="15108" max="15108" width="15.140625" style="2" customWidth="1"/>
    <col min="15109" max="15109" width="14.5703125" style="2" customWidth="1"/>
    <col min="15110" max="15110" width="13.85546875" style="2" customWidth="1"/>
    <col min="15111" max="15111" width="15.42578125" style="2" bestFit="1" customWidth="1"/>
    <col min="15112" max="15112" width="15.85546875" style="2" customWidth="1"/>
    <col min="15113" max="15113" width="15" style="2" bestFit="1" customWidth="1"/>
    <col min="15114" max="15114" width="15.42578125" style="2" customWidth="1"/>
    <col min="15115" max="15118" width="12.5703125" style="2"/>
    <col min="15119" max="15119" width="14.28515625" style="2" customWidth="1"/>
    <col min="15120" max="15360" width="12.5703125" style="2"/>
    <col min="15361" max="15361" width="50.7109375" style="2" customWidth="1"/>
    <col min="15362" max="15362" width="6.5703125" style="2" customWidth="1"/>
    <col min="15363" max="15363" width="6.140625" style="2" customWidth="1"/>
    <col min="15364" max="15364" width="15.140625" style="2" customWidth="1"/>
    <col min="15365" max="15365" width="14.5703125" style="2" customWidth="1"/>
    <col min="15366" max="15366" width="13.85546875" style="2" customWidth="1"/>
    <col min="15367" max="15367" width="15.42578125" style="2" bestFit="1" customWidth="1"/>
    <col min="15368" max="15368" width="15.85546875" style="2" customWidth="1"/>
    <col min="15369" max="15369" width="15" style="2" bestFit="1" customWidth="1"/>
    <col min="15370" max="15370" width="15.42578125" style="2" customWidth="1"/>
    <col min="15371" max="15374" width="12.5703125" style="2"/>
    <col min="15375" max="15375" width="14.28515625" style="2" customWidth="1"/>
    <col min="15376" max="15616" width="12.5703125" style="2"/>
    <col min="15617" max="15617" width="50.7109375" style="2" customWidth="1"/>
    <col min="15618" max="15618" width="6.5703125" style="2" customWidth="1"/>
    <col min="15619" max="15619" width="6.140625" style="2" customWidth="1"/>
    <col min="15620" max="15620" width="15.140625" style="2" customWidth="1"/>
    <col min="15621" max="15621" width="14.5703125" style="2" customWidth="1"/>
    <col min="15622" max="15622" width="13.85546875" style="2" customWidth="1"/>
    <col min="15623" max="15623" width="15.42578125" style="2" bestFit="1" customWidth="1"/>
    <col min="15624" max="15624" width="15.85546875" style="2" customWidth="1"/>
    <col min="15625" max="15625" width="15" style="2" bestFit="1" customWidth="1"/>
    <col min="15626" max="15626" width="15.42578125" style="2" customWidth="1"/>
    <col min="15627" max="15630" width="12.5703125" style="2"/>
    <col min="15631" max="15631" width="14.28515625" style="2" customWidth="1"/>
    <col min="15632" max="15872" width="12.5703125" style="2"/>
    <col min="15873" max="15873" width="50.7109375" style="2" customWidth="1"/>
    <col min="15874" max="15874" width="6.5703125" style="2" customWidth="1"/>
    <col min="15875" max="15875" width="6.140625" style="2" customWidth="1"/>
    <col min="15876" max="15876" width="15.140625" style="2" customWidth="1"/>
    <col min="15877" max="15877" width="14.5703125" style="2" customWidth="1"/>
    <col min="15878" max="15878" width="13.85546875" style="2" customWidth="1"/>
    <col min="15879" max="15879" width="15.42578125" style="2" bestFit="1" customWidth="1"/>
    <col min="15880" max="15880" width="15.85546875" style="2" customWidth="1"/>
    <col min="15881" max="15881" width="15" style="2" bestFit="1" customWidth="1"/>
    <col min="15882" max="15882" width="15.42578125" style="2" customWidth="1"/>
    <col min="15883" max="15886" width="12.5703125" style="2"/>
    <col min="15887" max="15887" width="14.28515625" style="2" customWidth="1"/>
    <col min="15888" max="16128" width="12.5703125" style="2"/>
    <col min="16129" max="16129" width="50.7109375" style="2" customWidth="1"/>
    <col min="16130" max="16130" width="6.5703125" style="2" customWidth="1"/>
    <col min="16131" max="16131" width="6.140625" style="2" customWidth="1"/>
    <col min="16132" max="16132" width="15.140625" style="2" customWidth="1"/>
    <col min="16133" max="16133" width="14.5703125" style="2" customWidth="1"/>
    <col min="16134" max="16134" width="13.85546875" style="2" customWidth="1"/>
    <col min="16135" max="16135" width="15.42578125" style="2" bestFit="1" customWidth="1"/>
    <col min="16136" max="16136" width="15.85546875" style="2" customWidth="1"/>
    <col min="16137" max="16137" width="15" style="2" bestFit="1" customWidth="1"/>
    <col min="16138" max="16138" width="15.42578125" style="2" customWidth="1"/>
    <col min="16139" max="16142" width="12.5703125" style="2"/>
    <col min="16143" max="16143" width="14.28515625" style="2" customWidth="1"/>
    <col min="16144" max="16384" width="12.5703125" style="2"/>
  </cols>
  <sheetData>
    <row r="1" spans="1:11" ht="20.25" customHeight="1" thickBot="1" x14ac:dyDescent="0.3">
      <c r="A1" s="1" t="s">
        <v>0</v>
      </c>
      <c r="I1" s="185" t="s">
        <v>1</v>
      </c>
      <c r="J1" s="186"/>
    </row>
    <row r="2" spans="1:11" ht="24.75" customHeight="1" x14ac:dyDescent="0.2">
      <c r="A2" s="187" t="s">
        <v>2</v>
      </c>
      <c r="B2" s="187"/>
      <c r="C2" s="187"/>
      <c r="D2" s="187"/>
      <c r="E2" s="187"/>
      <c r="F2" s="187"/>
      <c r="G2" s="187"/>
      <c r="H2" s="187"/>
      <c r="I2" s="187"/>
      <c r="J2" s="187"/>
    </row>
    <row r="3" spans="1:11" ht="6" customHeight="1" thickBot="1" x14ac:dyDescent="0.25">
      <c r="A3" s="188"/>
      <c r="B3" s="188"/>
      <c r="C3" s="188"/>
      <c r="D3" s="188"/>
      <c r="E3" s="188"/>
      <c r="F3" s="188"/>
      <c r="G3" s="188"/>
      <c r="H3" s="188"/>
      <c r="I3" s="188"/>
      <c r="J3" s="188"/>
    </row>
    <row r="4" spans="1:11" ht="18.75" hidden="1" customHeight="1" x14ac:dyDescent="0.2">
      <c r="A4" s="4"/>
      <c r="B4" s="4"/>
      <c r="C4" s="4"/>
      <c r="D4" s="4"/>
      <c r="E4" s="4"/>
      <c r="F4" s="4"/>
      <c r="G4" s="4"/>
      <c r="H4" s="4"/>
      <c r="I4" s="4"/>
      <c r="J4" s="5"/>
    </row>
    <row r="5" spans="1:11" ht="14.25" customHeight="1" thickBot="1" x14ac:dyDescent="0.25">
      <c r="A5" s="6"/>
      <c r="B5" s="6"/>
      <c r="C5" s="6"/>
      <c r="D5" s="6"/>
      <c r="E5" s="6"/>
      <c r="F5" s="6"/>
      <c r="G5" s="6"/>
      <c r="H5" s="6"/>
      <c r="I5" s="189" t="s">
        <v>3</v>
      </c>
      <c r="J5" s="190"/>
      <c r="K5" s="6"/>
    </row>
    <row r="6" spans="1:11" ht="62.25" customHeight="1" thickBot="1" x14ac:dyDescent="0.25">
      <c r="A6" s="7" t="s">
        <v>4</v>
      </c>
      <c r="B6" s="8" t="s">
        <v>5</v>
      </c>
      <c r="C6" s="8" t="s">
        <v>6</v>
      </c>
      <c r="D6" s="9" t="s">
        <v>7</v>
      </c>
      <c r="E6" s="9" t="s">
        <v>8</v>
      </c>
      <c r="F6" s="9" t="s">
        <v>9</v>
      </c>
      <c r="G6" s="10" t="s">
        <v>10</v>
      </c>
      <c r="H6" s="10" t="s">
        <v>11</v>
      </c>
      <c r="I6" s="10" t="s">
        <v>12</v>
      </c>
      <c r="J6" s="11" t="s">
        <v>13</v>
      </c>
      <c r="K6" s="6"/>
    </row>
    <row r="7" spans="1:11" ht="30.75" customHeight="1" x14ac:dyDescent="0.2">
      <c r="A7" s="191" t="s">
        <v>14</v>
      </c>
      <c r="B7" s="192"/>
      <c r="C7" s="192"/>
      <c r="D7" s="192"/>
      <c r="E7" s="192"/>
      <c r="F7" s="192"/>
      <c r="G7" s="192"/>
      <c r="H7" s="192"/>
      <c r="I7" s="192"/>
      <c r="J7" s="193"/>
      <c r="K7" s="6"/>
    </row>
    <row r="8" spans="1:11" ht="17.25" customHeight="1" x14ac:dyDescent="0.2">
      <c r="A8" s="12" t="s">
        <v>15</v>
      </c>
      <c r="B8" s="13" t="s">
        <v>16</v>
      </c>
      <c r="C8" s="14" t="s">
        <v>17</v>
      </c>
      <c r="D8" s="15">
        <v>103000</v>
      </c>
      <c r="E8" s="15">
        <f>D8</f>
        <v>103000</v>
      </c>
      <c r="F8" s="16">
        <f>D8+G8+H8+I8+J8</f>
        <v>103000</v>
      </c>
      <c r="G8" s="15">
        <v>0</v>
      </c>
      <c r="H8" s="15">
        <v>0</v>
      </c>
      <c r="I8" s="15">
        <v>0</v>
      </c>
      <c r="J8" s="15">
        <v>0</v>
      </c>
      <c r="K8" s="6"/>
    </row>
    <row r="9" spans="1:11" ht="16.5" customHeight="1" x14ac:dyDescent="0.2">
      <c r="A9" s="12" t="s">
        <v>18</v>
      </c>
      <c r="B9" s="13" t="s">
        <v>16</v>
      </c>
      <c r="C9" s="14" t="s">
        <v>17</v>
      </c>
      <c r="D9" s="15">
        <v>66000</v>
      </c>
      <c r="E9" s="15">
        <f>D9</f>
        <v>66000</v>
      </c>
      <c r="F9" s="16">
        <f>D9+G9+H9+I9+J9</f>
        <v>66000</v>
      </c>
      <c r="G9" s="15">
        <v>0</v>
      </c>
      <c r="H9" s="15">
        <v>0</v>
      </c>
      <c r="I9" s="15">
        <v>0</v>
      </c>
      <c r="J9" s="15">
        <v>0</v>
      </c>
      <c r="K9" s="6"/>
    </row>
    <row r="10" spans="1:11" ht="21" customHeight="1" x14ac:dyDescent="0.2">
      <c r="A10" s="12" t="s">
        <v>19</v>
      </c>
      <c r="B10" s="13" t="s">
        <v>16</v>
      </c>
      <c r="C10" s="14" t="s">
        <v>17</v>
      </c>
      <c r="D10" s="15">
        <v>14800</v>
      </c>
      <c r="E10" s="15">
        <f>D10</f>
        <v>14800</v>
      </c>
      <c r="F10" s="16">
        <f>D10+G10+H10+I10+J10</f>
        <v>14800</v>
      </c>
      <c r="G10" s="15">
        <v>0</v>
      </c>
      <c r="H10" s="15">
        <v>0</v>
      </c>
      <c r="I10" s="15">
        <v>0</v>
      </c>
      <c r="J10" s="15">
        <v>0</v>
      </c>
      <c r="K10" s="6"/>
    </row>
    <row r="11" spans="1:11" ht="20.25" customHeight="1" x14ac:dyDescent="0.2">
      <c r="A11" s="12" t="s">
        <v>20</v>
      </c>
      <c r="B11" s="13" t="s">
        <v>16</v>
      </c>
      <c r="C11" s="14" t="s">
        <v>17</v>
      </c>
      <c r="D11" s="15">
        <v>10000</v>
      </c>
      <c r="E11" s="15">
        <f>D11</f>
        <v>10000</v>
      </c>
      <c r="F11" s="16">
        <f>D11+G11+H11+I11+J11</f>
        <v>10000</v>
      </c>
      <c r="G11" s="15">
        <v>0</v>
      </c>
      <c r="H11" s="15">
        <v>0</v>
      </c>
      <c r="I11" s="15">
        <v>0</v>
      </c>
      <c r="J11" s="15">
        <v>0</v>
      </c>
      <c r="K11" s="6"/>
    </row>
    <row r="12" spans="1:11" ht="25.5" customHeight="1" x14ac:dyDescent="0.2">
      <c r="A12" s="12" t="s">
        <v>21</v>
      </c>
      <c r="B12" s="13" t="s">
        <v>16</v>
      </c>
      <c r="C12" s="14" t="s">
        <v>17</v>
      </c>
      <c r="D12" s="15">
        <v>60000</v>
      </c>
      <c r="E12" s="15">
        <f>D12</f>
        <v>60000</v>
      </c>
      <c r="F12" s="16">
        <f>D12+G12+H12+I12+J12</f>
        <v>60000</v>
      </c>
      <c r="G12" s="15">
        <v>0</v>
      </c>
      <c r="H12" s="15">
        <v>0</v>
      </c>
      <c r="I12" s="15">
        <v>0</v>
      </c>
      <c r="J12" s="15">
        <v>0</v>
      </c>
      <c r="K12" s="6"/>
    </row>
    <row r="13" spans="1:11" ht="27.75" customHeight="1" x14ac:dyDescent="0.2">
      <c r="A13" s="194" t="s">
        <v>22</v>
      </c>
      <c r="B13" s="194"/>
      <c r="C13" s="194"/>
      <c r="D13" s="17">
        <f>SUM(D8:D12)</f>
        <v>253800</v>
      </c>
      <c r="E13" s="17">
        <f t="shared" ref="E13:J13" si="0">SUM(E8:E12)</f>
        <v>253800</v>
      </c>
      <c r="F13" s="17">
        <f t="shared" si="0"/>
        <v>253800</v>
      </c>
      <c r="G13" s="17">
        <f t="shared" si="0"/>
        <v>0</v>
      </c>
      <c r="H13" s="17">
        <f t="shared" si="0"/>
        <v>0</v>
      </c>
      <c r="I13" s="17">
        <f t="shared" si="0"/>
        <v>0</v>
      </c>
      <c r="J13" s="17">
        <f t="shared" si="0"/>
        <v>0</v>
      </c>
      <c r="K13" s="6"/>
    </row>
    <row r="14" spans="1:11" ht="13.5" hidden="1" customHeight="1" x14ac:dyDescent="0.2">
      <c r="A14" s="195" t="s">
        <v>23</v>
      </c>
      <c r="B14" s="195"/>
      <c r="C14" s="195"/>
      <c r="D14" s="195"/>
      <c r="E14" s="195"/>
      <c r="F14" s="195"/>
      <c r="G14" s="195"/>
      <c r="H14" s="195"/>
      <c r="I14" s="195"/>
      <c r="J14" s="195"/>
      <c r="K14" s="6"/>
    </row>
    <row r="15" spans="1:11" ht="20.100000000000001" hidden="1" customHeight="1" x14ac:dyDescent="0.2">
      <c r="A15" s="196" t="s">
        <v>23</v>
      </c>
      <c r="B15" s="196"/>
      <c r="C15" s="196"/>
      <c r="D15" s="196"/>
      <c r="E15" s="196"/>
      <c r="F15" s="196"/>
      <c r="G15" s="196"/>
      <c r="H15" s="196"/>
      <c r="I15" s="196"/>
      <c r="J15" s="196"/>
      <c r="K15" s="6"/>
    </row>
    <row r="16" spans="1:11" ht="14.25" hidden="1" x14ac:dyDescent="0.2">
      <c r="A16" s="12"/>
      <c r="B16" s="13" t="s">
        <v>16</v>
      </c>
      <c r="C16" s="14" t="s">
        <v>24</v>
      </c>
      <c r="D16" s="15"/>
      <c r="E16" s="15">
        <f>D16</f>
        <v>0</v>
      </c>
      <c r="F16" s="16">
        <f>D16+G16+H16+I16+J16</f>
        <v>0</v>
      </c>
      <c r="G16" s="15">
        <v>0</v>
      </c>
      <c r="H16" s="15">
        <v>0</v>
      </c>
      <c r="I16" s="15">
        <v>0</v>
      </c>
      <c r="J16" s="15">
        <v>0</v>
      </c>
      <c r="K16" s="6"/>
    </row>
    <row r="17" spans="1:11" ht="14.25" hidden="1" x14ac:dyDescent="0.2">
      <c r="A17" s="194" t="s">
        <v>25</v>
      </c>
      <c r="B17" s="194"/>
      <c r="C17" s="194"/>
      <c r="D17" s="17">
        <f>SUM(D16:D16)</f>
        <v>0</v>
      </c>
      <c r="E17" s="17">
        <f>SUM(E16:E16)</f>
        <v>0</v>
      </c>
      <c r="F17" s="17">
        <f>SUM(F16:F16)</f>
        <v>0</v>
      </c>
      <c r="G17" s="17"/>
      <c r="H17" s="17">
        <v>0</v>
      </c>
      <c r="I17" s="17">
        <v>0</v>
      </c>
      <c r="J17" s="17">
        <v>0</v>
      </c>
      <c r="K17" s="6"/>
    </row>
    <row r="18" spans="1:11" ht="20.100000000000001" hidden="1" customHeight="1" x14ac:dyDescent="0.2">
      <c r="A18" s="184" t="s">
        <v>26</v>
      </c>
      <c r="B18" s="184"/>
      <c r="C18" s="184"/>
      <c r="D18" s="184"/>
      <c r="E18" s="184"/>
      <c r="F18" s="184"/>
      <c r="G18" s="184"/>
      <c r="H18" s="184"/>
      <c r="I18" s="184"/>
      <c r="J18" s="184"/>
      <c r="K18" s="6"/>
    </row>
    <row r="19" spans="1:11" ht="14.25" hidden="1" x14ac:dyDescent="0.2">
      <c r="A19" s="18"/>
      <c r="B19" s="13"/>
      <c r="C19" s="14"/>
      <c r="D19" s="15"/>
      <c r="E19" s="15"/>
      <c r="F19" s="16"/>
      <c r="G19" s="15"/>
      <c r="H19" s="15"/>
      <c r="I19" s="15"/>
      <c r="J19" s="15"/>
      <c r="K19" s="6"/>
    </row>
    <row r="20" spans="1:11" ht="14.25" hidden="1" x14ac:dyDescent="0.2">
      <c r="A20" s="19"/>
      <c r="B20" s="13"/>
      <c r="C20" s="14"/>
      <c r="D20" s="15"/>
      <c r="E20" s="15"/>
      <c r="F20" s="16"/>
      <c r="G20" s="15"/>
      <c r="H20" s="15"/>
      <c r="I20" s="15"/>
      <c r="J20" s="15"/>
      <c r="K20" s="6"/>
    </row>
    <row r="21" spans="1:11" ht="14.25" hidden="1" x14ac:dyDescent="0.2">
      <c r="A21" s="20"/>
      <c r="B21" s="13"/>
      <c r="C21" s="14"/>
      <c r="D21" s="15"/>
      <c r="E21" s="15"/>
      <c r="F21" s="16"/>
      <c r="G21" s="15"/>
      <c r="H21" s="15"/>
      <c r="I21" s="15"/>
      <c r="J21" s="15"/>
      <c r="K21" s="6"/>
    </row>
    <row r="22" spans="1:11" ht="14.25" hidden="1" x14ac:dyDescent="0.2">
      <c r="A22" s="20"/>
      <c r="B22" s="13"/>
      <c r="C22" s="14"/>
      <c r="D22" s="15"/>
      <c r="E22" s="15"/>
      <c r="F22" s="16"/>
      <c r="G22" s="15"/>
      <c r="H22" s="15"/>
      <c r="I22" s="15"/>
      <c r="J22" s="15"/>
      <c r="K22" s="6"/>
    </row>
    <row r="23" spans="1:11" ht="14.25" hidden="1" x14ac:dyDescent="0.2">
      <c r="A23" s="20"/>
      <c r="B23" s="13"/>
      <c r="C23" s="14"/>
      <c r="D23" s="15"/>
      <c r="E23" s="15"/>
      <c r="F23" s="16"/>
      <c r="G23" s="15"/>
      <c r="H23" s="15"/>
      <c r="I23" s="15"/>
      <c r="J23" s="15"/>
      <c r="K23" s="6"/>
    </row>
    <row r="24" spans="1:11" ht="14.25" hidden="1" x14ac:dyDescent="0.2">
      <c r="A24" s="20"/>
      <c r="B24" s="13"/>
      <c r="C24" s="14"/>
      <c r="D24" s="15"/>
      <c r="E24" s="15"/>
      <c r="F24" s="16"/>
      <c r="G24" s="15"/>
      <c r="H24" s="15"/>
      <c r="I24" s="15"/>
      <c r="J24" s="15"/>
      <c r="K24" s="6"/>
    </row>
    <row r="25" spans="1:11" ht="14.25" hidden="1" x14ac:dyDescent="0.2">
      <c r="A25" s="194" t="s">
        <v>27</v>
      </c>
      <c r="B25" s="194"/>
      <c r="C25" s="194"/>
      <c r="D25" s="17">
        <f t="shared" ref="D25:J25" si="1">SUM(D19:D24)</f>
        <v>0</v>
      </c>
      <c r="E25" s="17">
        <f t="shared" si="1"/>
        <v>0</v>
      </c>
      <c r="F25" s="17">
        <f t="shared" si="1"/>
        <v>0</v>
      </c>
      <c r="G25" s="17">
        <f t="shared" si="1"/>
        <v>0</v>
      </c>
      <c r="H25" s="17">
        <f t="shared" si="1"/>
        <v>0</v>
      </c>
      <c r="I25" s="17">
        <f t="shared" si="1"/>
        <v>0</v>
      </c>
      <c r="J25" s="17">
        <f t="shared" si="1"/>
        <v>0</v>
      </c>
      <c r="K25" s="6"/>
    </row>
    <row r="26" spans="1:11" ht="36.75" customHeight="1" x14ac:dyDescent="0.2">
      <c r="A26" s="184" t="s">
        <v>28</v>
      </c>
      <c r="B26" s="184"/>
      <c r="C26" s="184"/>
      <c r="D26" s="184"/>
      <c r="E26" s="184"/>
      <c r="F26" s="184"/>
      <c r="G26" s="184"/>
      <c r="H26" s="184"/>
      <c r="I26" s="184"/>
      <c r="J26" s="184"/>
      <c r="K26" s="6"/>
    </row>
    <row r="27" spans="1:11" ht="38.25" x14ac:dyDescent="0.2">
      <c r="A27" s="21" t="s">
        <v>29</v>
      </c>
      <c r="B27" s="22" t="s">
        <v>16</v>
      </c>
      <c r="C27" s="23" t="s">
        <v>30</v>
      </c>
      <c r="D27" s="15">
        <v>17000</v>
      </c>
      <c r="E27" s="24">
        <f t="shared" ref="E27:E51" si="2">D27</f>
        <v>17000</v>
      </c>
      <c r="F27" s="25">
        <f t="shared" ref="F27:F51" si="3">D27+G27+H27+I27+J27</f>
        <v>17000</v>
      </c>
      <c r="G27" s="15">
        <v>0</v>
      </c>
      <c r="H27" s="15">
        <v>0</v>
      </c>
      <c r="I27" s="15">
        <v>0</v>
      </c>
      <c r="J27" s="15">
        <v>0</v>
      </c>
      <c r="K27" s="6"/>
    </row>
    <row r="28" spans="1:11" ht="38.25" x14ac:dyDescent="0.2">
      <c r="A28" s="21" t="s">
        <v>31</v>
      </c>
      <c r="B28" s="22" t="s">
        <v>16</v>
      </c>
      <c r="C28" s="23" t="s">
        <v>30</v>
      </c>
      <c r="D28" s="15">
        <v>18000</v>
      </c>
      <c r="E28" s="24">
        <f t="shared" si="2"/>
        <v>18000</v>
      </c>
      <c r="F28" s="25">
        <f t="shared" si="3"/>
        <v>18000</v>
      </c>
      <c r="G28" s="15">
        <v>0</v>
      </c>
      <c r="H28" s="15">
        <v>0</v>
      </c>
      <c r="I28" s="15">
        <v>0</v>
      </c>
      <c r="J28" s="15">
        <v>0</v>
      </c>
      <c r="K28" s="6"/>
    </row>
    <row r="29" spans="1:11" ht="25.5" x14ac:dyDescent="0.2">
      <c r="A29" s="21" t="s">
        <v>32</v>
      </c>
      <c r="B29" s="22" t="s">
        <v>16</v>
      </c>
      <c r="C29" s="23" t="s">
        <v>30</v>
      </c>
      <c r="D29" s="15">
        <v>1205000</v>
      </c>
      <c r="E29" s="24">
        <f t="shared" si="2"/>
        <v>1205000</v>
      </c>
      <c r="F29" s="25">
        <f t="shared" si="3"/>
        <v>1205000</v>
      </c>
      <c r="G29" s="15">
        <v>0</v>
      </c>
      <c r="H29" s="15">
        <v>0</v>
      </c>
      <c r="I29" s="15">
        <v>0</v>
      </c>
      <c r="J29" s="15">
        <v>0</v>
      </c>
      <c r="K29" s="6"/>
    </row>
    <row r="30" spans="1:11" ht="25.5" x14ac:dyDescent="0.2">
      <c r="A30" s="26" t="s">
        <v>33</v>
      </c>
      <c r="B30" s="27" t="s">
        <v>16</v>
      </c>
      <c r="C30" s="28" t="s">
        <v>30</v>
      </c>
      <c r="D30" s="24">
        <v>70805</v>
      </c>
      <c r="E30" s="29">
        <f t="shared" si="2"/>
        <v>70805</v>
      </c>
      <c r="F30" s="30">
        <f t="shared" si="3"/>
        <v>70805</v>
      </c>
      <c r="G30" s="31">
        <v>0</v>
      </c>
      <c r="H30" s="15">
        <v>0</v>
      </c>
      <c r="I30" s="15">
        <v>0</v>
      </c>
      <c r="J30" s="15">
        <v>0</v>
      </c>
      <c r="K30" s="6"/>
    </row>
    <row r="31" spans="1:11" s="40" customFormat="1" ht="25.5" x14ac:dyDescent="0.2">
      <c r="A31" s="32" t="s">
        <v>34</v>
      </c>
      <c r="B31" s="33" t="s">
        <v>16</v>
      </c>
      <c r="C31" s="34" t="s">
        <v>30</v>
      </c>
      <c r="D31" s="35">
        <f>1100000+375000+300000+100000</f>
        <v>1875000</v>
      </c>
      <c r="E31" s="35">
        <f t="shared" si="2"/>
        <v>1875000</v>
      </c>
      <c r="F31" s="36">
        <f t="shared" si="3"/>
        <v>6741275</v>
      </c>
      <c r="G31" s="37">
        <f>5241275-375000</f>
        <v>4866275</v>
      </c>
      <c r="H31" s="38">
        <v>0</v>
      </c>
      <c r="I31" s="38">
        <v>0</v>
      </c>
      <c r="J31" s="38">
        <v>0</v>
      </c>
      <c r="K31" s="39"/>
    </row>
    <row r="32" spans="1:11" ht="25.5" x14ac:dyDescent="0.2">
      <c r="A32" s="21" t="s">
        <v>35</v>
      </c>
      <c r="B32" s="22" t="s">
        <v>16</v>
      </c>
      <c r="C32" s="23" t="s">
        <v>30</v>
      </c>
      <c r="D32" s="24">
        <v>21420</v>
      </c>
      <c r="E32" s="24">
        <f t="shared" si="2"/>
        <v>21420</v>
      </c>
      <c r="F32" s="25">
        <f t="shared" si="3"/>
        <v>47600</v>
      </c>
      <c r="G32" s="15">
        <v>26180</v>
      </c>
      <c r="H32" s="15">
        <v>0</v>
      </c>
      <c r="I32" s="15">
        <v>0</v>
      </c>
      <c r="J32" s="15">
        <v>0</v>
      </c>
      <c r="K32" s="6"/>
    </row>
    <row r="33" spans="1:165" ht="37.5" customHeight="1" x14ac:dyDescent="0.2">
      <c r="A33" s="21" t="s">
        <v>36</v>
      </c>
      <c r="B33" s="22" t="s">
        <v>16</v>
      </c>
      <c r="C33" s="23" t="s">
        <v>30</v>
      </c>
      <c r="D33" s="24">
        <v>29155</v>
      </c>
      <c r="E33" s="24">
        <f t="shared" si="2"/>
        <v>29155</v>
      </c>
      <c r="F33" s="25">
        <f t="shared" si="3"/>
        <v>58905</v>
      </c>
      <c r="G33" s="15">
        <v>29750</v>
      </c>
      <c r="H33" s="15">
        <v>0</v>
      </c>
      <c r="I33" s="15">
        <v>0</v>
      </c>
      <c r="J33" s="15">
        <v>0</v>
      </c>
      <c r="K33" s="6"/>
    </row>
    <row r="34" spans="1:165" ht="25.5" x14ac:dyDescent="0.2">
      <c r="A34" s="21" t="s">
        <v>37</v>
      </c>
      <c r="B34" s="22" t="s">
        <v>16</v>
      </c>
      <c r="C34" s="23" t="s">
        <v>30</v>
      </c>
      <c r="D34" s="24">
        <v>319000</v>
      </c>
      <c r="E34" s="24">
        <v>319000</v>
      </c>
      <c r="F34" s="25">
        <f t="shared" si="3"/>
        <v>319000</v>
      </c>
      <c r="G34" s="15">
        <v>0</v>
      </c>
      <c r="H34" s="15">
        <v>0</v>
      </c>
      <c r="I34" s="15">
        <v>0</v>
      </c>
      <c r="J34" s="15">
        <v>0</v>
      </c>
      <c r="K34" s="6"/>
    </row>
    <row r="35" spans="1:165" ht="14.25" x14ac:dyDescent="0.2">
      <c r="A35" s="21" t="s">
        <v>38</v>
      </c>
      <c r="B35" s="41" t="s">
        <v>16</v>
      </c>
      <c r="C35" s="23" t="s">
        <v>30</v>
      </c>
      <c r="D35" s="24">
        <v>150000</v>
      </c>
      <c r="E35" s="24">
        <f t="shared" si="2"/>
        <v>150000</v>
      </c>
      <c r="F35" s="25">
        <f t="shared" si="3"/>
        <v>150000</v>
      </c>
      <c r="G35" s="15">
        <v>0</v>
      </c>
      <c r="H35" s="15">
        <v>0</v>
      </c>
      <c r="I35" s="15">
        <v>0</v>
      </c>
      <c r="J35" s="15">
        <v>0</v>
      </c>
      <c r="K35" s="6"/>
    </row>
    <row r="36" spans="1:165" ht="25.5" x14ac:dyDescent="0.2">
      <c r="A36" s="19" t="s">
        <v>39</v>
      </c>
      <c r="B36" s="22" t="s">
        <v>16</v>
      </c>
      <c r="C36" s="23" t="s">
        <v>30</v>
      </c>
      <c r="D36" s="24">
        <v>230000</v>
      </c>
      <c r="E36" s="24">
        <f t="shared" si="2"/>
        <v>230000</v>
      </c>
      <c r="F36" s="25">
        <f t="shared" si="3"/>
        <v>235000</v>
      </c>
      <c r="G36" s="15">
        <v>5000</v>
      </c>
      <c r="H36" s="15">
        <v>0</v>
      </c>
      <c r="I36" s="15">
        <v>0</v>
      </c>
      <c r="J36" s="15">
        <v>0</v>
      </c>
      <c r="K36" s="6"/>
    </row>
    <row r="37" spans="1:165" ht="25.5" x14ac:dyDescent="0.2">
      <c r="A37" s="19" t="s">
        <v>40</v>
      </c>
      <c r="B37" s="22" t="s">
        <v>16</v>
      </c>
      <c r="C37" s="23" t="s">
        <v>30</v>
      </c>
      <c r="D37" s="24">
        <v>1000</v>
      </c>
      <c r="E37" s="24">
        <f t="shared" si="2"/>
        <v>1000</v>
      </c>
      <c r="F37" s="25">
        <f t="shared" si="3"/>
        <v>9780000</v>
      </c>
      <c r="G37" s="15">
        <v>9779000</v>
      </c>
      <c r="H37" s="15">
        <v>0</v>
      </c>
      <c r="I37" s="15">
        <v>0</v>
      </c>
      <c r="J37" s="15">
        <v>0</v>
      </c>
      <c r="K37" s="6"/>
    </row>
    <row r="38" spans="1:165" s="42" customFormat="1" ht="38.25" x14ac:dyDescent="0.2">
      <c r="A38" s="19" t="s">
        <v>41</v>
      </c>
      <c r="B38" s="22" t="s">
        <v>16</v>
      </c>
      <c r="C38" s="23" t="s">
        <v>30</v>
      </c>
      <c r="D38" s="24">
        <v>1000</v>
      </c>
      <c r="E38" s="24">
        <f t="shared" si="2"/>
        <v>1000</v>
      </c>
      <c r="F38" s="25">
        <f t="shared" si="3"/>
        <v>86000</v>
      </c>
      <c r="G38" s="15">
        <v>85000</v>
      </c>
      <c r="H38" s="15">
        <v>0</v>
      </c>
      <c r="I38" s="15">
        <v>0</v>
      </c>
      <c r="J38" s="15">
        <v>0</v>
      </c>
      <c r="K38" s="6"/>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row>
    <row r="39" spans="1:165" ht="38.25" x14ac:dyDescent="0.2">
      <c r="A39" s="19" t="s">
        <v>42</v>
      </c>
      <c r="B39" s="22" t="s">
        <v>16</v>
      </c>
      <c r="C39" s="23" t="s">
        <v>30</v>
      </c>
      <c r="D39" s="24">
        <v>1000</v>
      </c>
      <c r="E39" s="24">
        <f t="shared" si="2"/>
        <v>1000</v>
      </c>
      <c r="F39" s="25">
        <f t="shared" si="3"/>
        <v>39000</v>
      </c>
      <c r="G39" s="15">
        <v>38000</v>
      </c>
      <c r="H39" s="15">
        <v>0</v>
      </c>
      <c r="I39" s="15">
        <v>0</v>
      </c>
      <c r="J39" s="15">
        <v>0</v>
      </c>
      <c r="K39" s="6"/>
    </row>
    <row r="40" spans="1:165" ht="25.5" x14ac:dyDescent="0.2">
      <c r="A40" s="18" t="s">
        <v>43</v>
      </c>
      <c r="B40" s="22" t="s">
        <v>16</v>
      </c>
      <c r="C40" s="23" t="s">
        <v>30</v>
      </c>
      <c r="D40" s="24">
        <v>95000</v>
      </c>
      <c r="E40" s="24">
        <f t="shared" si="2"/>
        <v>95000</v>
      </c>
      <c r="F40" s="25">
        <f t="shared" si="3"/>
        <v>95000</v>
      </c>
      <c r="G40" s="15">
        <v>0</v>
      </c>
      <c r="H40" s="15">
        <v>0</v>
      </c>
      <c r="I40" s="15">
        <v>0</v>
      </c>
      <c r="J40" s="15">
        <v>0</v>
      </c>
      <c r="K40" s="6"/>
    </row>
    <row r="41" spans="1:165" ht="41.25" customHeight="1" x14ac:dyDescent="0.2">
      <c r="A41" s="18" t="s">
        <v>44</v>
      </c>
      <c r="B41" s="22" t="s">
        <v>16</v>
      </c>
      <c r="C41" s="23" t="s">
        <v>30</v>
      </c>
      <c r="D41" s="24">
        <v>1000</v>
      </c>
      <c r="E41" s="24">
        <f t="shared" si="2"/>
        <v>1000</v>
      </c>
      <c r="F41" s="25">
        <f t="shared" si="3"/>
        <v>2001000</v>
      </c>
      <c r="G41" s="15">
        <v>2000000</v>
      </c>
      <c r="H41" s="15">
        <v>0</v>
      </c>
      <c r="I41" s="15">
        <v>0</v>
      </c>
      <c r="J41" s="15"/>
      <c r="K41" s="6"/>
    </row>
    <row r="42" spans="1:165" ht="25.5" x14ac:dyDescent="0.2">
      <c r="A42" s="43" t="s">
        <v>45</v>
      </c>
      <c r="B42" s="22" t="s">
        <v>16</v>
      </c>
      <c r="C42" s="23" t="s">
        <v>30</v>
      </c>
      <c r="D42" s="44">
        <v>30000</v>
      </c>
      <c r="E42" s="29">
        <f>D42</f>
        <v>30000</v>
      </c>
      <c r="F42" s="45">
        <f t="shared" si="3"/>
        <v>30000</v>
      </c>
      <c r="G42" s="31">
        <v>0</v>
      </c>
      <c r="H42" s="15">
        <v>0</v>
      </c>
      <c r="I42" s="15">
        <v>0</v>
      </c>
      <c r="J42" s="15">
        <v>0</v>
      </c>
      <c r="K42" s="6"/>
    </row>
    <row r="43" spans="1:165" ht="25.5" x14ac:dyDescent="0.2">
      <c r="A43" s="43" t="s">
        <v>46</v>
      </c>
      <c r="B43" s="22" t="s">
        <v>16</v>
      </c>
      <c r="C43" s="23" t="s">
        <v>30</v>
      </c>
      <c r="D43" s="44">
        <v>805000</v>
      </c>
      <c r="E43" s="29">
        <v>805000</v>
      </c>
      <c r="F43" s="45">
        <f t="shared" si="3"/>
        <v>1130000</v>
      </c>
      <c r="G43" s="31">
        <v>325000</v>
      </c>
      <c r="H43" s="15">
        <v>0</v>
      </c>
      <c r="I43" s="15">
        <v>0</v>
      </c>
      <c r="J43" s="15">
        <v>0</v>
      </c>
      <c r="K43" s="6"/>
    </row>
    <row r="44" spans="1:165" ht="25.5" x14ac:dyDescent="0.2">
      <c r="A44" s="46" t="s">
        <v>47</v>
      </c>
      <c r="B44" s="22" t="s">
        <v>16</v>
      </c>
      <c r="C44" s="23" t="s">
        <v>30</v>
      </c>
      <c r="D44" s="15">
        <f>135000-116850-5445</f>
        <v>12705</v>
      </c>
      <c r="E44" s="24">
        <f t="shared" si="2"/>
        <v>12705</v>
      </c>
      <c r="F44" s="25">
        <f t="shared" si="3"/>
        <v>12705</v>
      </c>
      <c r="G44" s="15">
        <v>0</v>
      </c>
      <c r="H44" s="15">
        <v>0</v>
      </c>
      <c r="I44" s="15">
        <v>0</v>
      </c>
      <c r="J44" s="15">
        <v>0</v>
      </c>
      <c r="K44" s="6"/>
    </row>
    <row r="45" spans="1:165" ht="25.5" x14ac:dyDescent="0.2">
      <c r="A45" s="46" t="s">
        <v>48</v>
      </c>
      <c r="B45" s="22" t="s">
        <v>16</v>
      </c>
      <c r="C45" s="23" t="s">
        <v>30</v>
      </c>
      <c r="D45" s="15">
        <f>251850+5445</f>
        <v>257295</v>
      </c>
      <c r="E45" s="24">
        <f>D45</f>
        <v>257295</v>
      </c>
      <c r="F45" s="25">
        <f>D45+G45+H45+I45+J45</f>
        <v>257295</v>
      </c>
      <c r="G45" s="15">
        <v>0</v>
      </c>
      <c r="H45" s="15">
        <v>0</v>
      </c>
      <c r="I45" s="15">
        <v>0</v>
      </c>
      <c r="J45" s="15">
        <v>0</v>
      </c>
      <c r="K45" s="6"/>
    </row>
    <row r="46" spans="1:165" ht="28.5" customHeight="1" x14ac:dyDescent="0.2">
      <c r="A46" s="46" t="s">
        <v>49</v>
      </c>
      <c r="B46" s="22" t="s">
        <v>16</v>
      </c>
      <c r="C46" s="23" t="s">
        <v>30</v>
      </c>
      <c r="D46" s="15">
        <v>150000</v>
      </c>
      <c r="E46" s="24">
        <f t="shared" si="2"/>
        <v>150000</v>
      </c>
      <c r="F46" s="25">
        <f t="shared" si="3"/>
        <v>150000</v>
      </c>
      <c r="G46" s="15">
        <v>0</v>
      </c>
      <c r="H46" s="15">
        <v>0</v>
      </c>
      <c r="I46" s="15">
        <v>0</v>
      </c>
      <c r="J46" s="15">
        <v>0</v>
      </c>
      <c r="K46" s="6"/>
    </row>
    <row r="47" spans="1:165" ht="14.25" x14ac:dyDescent="0.2">
      <c r="A47" s="46" t="s">
        <v>50</v>
      </c>
      <c r="B47" s="22" t="s">
        <v>16</v>
      </c>
      <c r="C47" s="23" t="s">
        <v>30</v>
      </c>
      <c r="D47" s="15">
        <v>5200</v>
      </c>
      <c r="E47" s="24">
        <f t="shared" si="2"/>
        <v>5200</v>
      </c>
      <c r="F47" s="25">
        <f t="shared" si="3"/>
        <v>5200</v>
      </c>
      <c r="G47" s="15">
        <v>0</v>
      </c>
      <c r="H47" s="15">
        <v>0</v>
      </c>
      <c r="I47" s="15">
        <v>0</v>
      </c>
      <c r="J47" s="15">
        <v>0</v>
      </c>
      <c r="K47" s="6"/>
    </row>
    <row r="48" spans="1:165" ht="25.5" x14ac:dyDescent="0.2">
      <c r="A48" s="46" t="s">
        <v>51</v>
      </c>
      <c r="B48" s="22" t="s">
        <v>16</v>
      </c>
      <c r="C48" s="23" t="s">
        <v>30</v>
      </c>
      <c r="D48" s="15">
        <v>25000</v>
      </c>
      <c r="E48" s="24">
        <f t="shared" si="2"/>
        <v>25000</v>
      </c>
      <c r="F48" s="25">
        <f t="shared" si="3"/>
        <v>25000</v>
      </c>
      <c r="G48" s="15">
        <v>0</v>
      </c>
      <c r="H48" s="15">
        <v>0</v>
      </c>
      <c r="I48" s="15">
        <v>0</v>
      </c>
      <c r="J48" s="15">
        <v>0</v>
      </c>
      <c r="K48" s="6"/>
    </row>
    <row r="49" spans="1:11" ht="25.5" x14ac:dyDescent="0.2">
      <c r="A49" s="46" t="s">
        <v>52</v>
      </c>
      <c r="B49" s="22" t="s">
        <v>16</v>
      </c>
      <c r="C49" s="23" t="s">
        <v>30</v>
      </c>
      <c r="D49" s="15">
        <v>100000</v>
      </c>
      <c r="E49" s="24">
        <f t="shared" si="2"/>
        <v>100000</v>
      </c>
      <c r="F49" s="25">
        <f t="shared" si="3"/>
        <v>100000</v>
      </c>
      <c r="G49" s="15">
        <v>0</v>
      </c>
      <c r="H49" s="15">
        <v>0</v>
      </c>
      <c r="I49" s="15">
        <v>0</v>
      </c>
      <c r="J49" s="15">
        <v>0</v>
      </c>
      <c r="K49" s="6"/>
    </row>
    <row r="50" spans="1:11" ht="25.5" x14ac:dyDescent="0.2">
      <c r="A50" s="46" t="s">
        <v>53</v>
      </c>
      <c r="B50" s="22" t="s">
        <v>16</v>
      </c>
      <c r="C50" s="23" t="s">
        <v>30</v>
      </c>
      <c r="D50" s="15">
        <v>66000</v>
      </c>
      <c r="E50" s="24">
        <f t="shared" si="2"/>
        <v>66000</v>
      </c>
      <c r="F50" s="25">
        <f t="shared" si="3"/>
        <v>66000</v>
      </c>
      <c r="G50" s="15">
        <v>0</v>
      </c>
      <c r="H50" s="15">
        <v>0</v>
      </c>
      <c r="I50" s="15">
        <v>0</v>
      </c>
      <c r="J50" s="15">
        <v>0</v>
      </c>
      <c r="K50" s="6"/>
    </row>
    <row r="51" spans="1:11" ht="25.5" x14ac:dyDescent="0.2">
      <c r="A51" s="18" t="s">
        <v>54</v>
      </c>
      <c r="B51" s="22" t="s">
        <v>16</v>
      </c>
      <c r="C51" s="23" t="s">
        <v>30</v>
      </c>
      <c r="D51" s="24">
        <v>16500</v>
      </c>
      <c r="E51" s="24">
        <f t="shared" si="2"/>
        <v>16500</v>
      </c>
      <c r="F51" s="25">
        <f t="shared" si="3"/>
        <v>16500</v>
      </c>
      <c r="G51" s="15">
        <v>0</v>
      </c>
      <c r="H51" s="15">
        <v>0</v>
      </c>
      <c r="I51" s="15">
        <v>0</v>
      </c>
      <c r="J51" s="15">
        <v>0</v>
      </c>
      <c r="K51" s="6"/>
    </row>
    <row r="52" spans="1:11" ht="18.75" customHeight="1" x14ac:dyDescent="0.2">
      <c r="A52" s="18" t="s">
        <v>55</v>
      </c>
      <c r="B52" s="22" t="s">
        <v>16</v>
      </c>
      <c r="C52" s="23" t="s">
        <v>30</v>
      </c>
      <c r="D52" s="24">
        <v>75227</v>
      </c>
      <c r="E52" s="24">
        <f>D52</f>
        <v>75227</v>
      </c>
      <c r="F52" s="25">
        <f>D52+G52+H52+I52+J52</f>
        <v>75227</v>
      </c>
      <c r="G52" s="15">
        <v>0</v>
      </c>
      <c r="H52" s="15">
        <v>0</v>
      </c>
      <c r="I52" s="15">
        <v>0</v>
      </c>
      <c r="J52" s="15">
        <v>0</v>
      </c>
      <c r="K52" s="6"/>
    </row>
    <row r="53" spans="1:11" ht="18" customHeight="1" x14ac:dyDescent="0.2">
      <c r="A53" s="18" t="s">
        <v>56</v>
      </c>
      <c r="B53" s="22" t="s">
        <v>16</v>
      </c>
      <c r="C53" s="23" t="s">
        <v>30</v>
      </c>
      <c r="D53" s="24">
        <v>517000</v>
      </c>
      <c r="E53" s="24">
        <f>D53</f>
        <v>517000</v>
      </c>
      <c r="F53" s="25">
        <f>D53+G53+H53+I53+J53</f>
        <v>517000</v>
      </c>
      <c r="G53" s="15">
        <v>0</v>
      </c>
      <c r="H53" s="15">
        <v>0</v>
      </c>
      <c r="I53" s="15">
        <v>0</v>
      </c>
      <c r="J53" s="15">
        <v>0</v>
      </c>
      <c r="K53" s="6"/>
    </row>
    <row r="54" spans="1:11" ht="25.5" x14ac:dyDescent="0.2">
      <c r="A54" s="18" t="s">
        <v>57</v>
      </c>
      <c r="B54" s="22" t="s">
        <v>16</v>
      </c>
      <c r="C54" s="23" t="s">
        <v>30</v>
      </c>
      <c r="D54" s="24">
        <v>1000</v>
      </c>
      <c r="E54" s="24">
        <f>D54</f>
        <v>1000</v>
      </c>
      <c r="F54" s="25">
        <f>D54+G54+H54+I54+J54</f>
        <v>326700</v>
      </c>
      <c r="G54" s="15">
        <v>325700</v>
      </c>
      <c r="H54" s="15">
        <v>0</v>
      </c>
      <c r="I54" s="15">
        <v>0</v>
      </c>
      <c r="J54" s="15">
        <v>0</v>
      </c>
      <c r="K54" s="6"/>
    </row>
    <row r="55" spans="1:11" ht="24" customHeight="1" x14ac:dyDescent="0.2">
      <c r="A55" s="198" t="s">
        <v>58</v>
      </c>
      <c r="B55" s="199"/>
      <c r="C55" s="200"/>
      <c r="D55" s="47">
        <f>SUM(D27:D54)</f>
        <v>6095307</v>
      </c>
      <c r="E55" s="47">
        <f t="shared" ref="E55:J55" si="4">SUM(E27:E54)</f>
        <v>6095307</v>
      </c>
      <c r="F55" s="47">
        <f t="shared" si="4"/>
        <v>23575212</v>
      </c>
      <c r="G55" s="47">
        <f t="shared" si="4"/>
        <v>17479905</v>
      </c>
      <c r="H55" s="47">
        <f t="shared" si="4"/>
        <v>0</v>
      </c>
      <c r="I55" s="47">
        <f t="shared" si="4"/>
        <v>0</v>
      </c>
      <c r="J55" s="47">
        <f t="shared" si="4"/>
        <v>0</v>
      </c>
      <c r="K55" s="6"/>
    </row>
    <row r="56" spans="1:11" ht="19.5" customHeight="1" x14ac:dyDescent="0.2">
      <c r="A56" s="184" t="s">
        <v>59</v>
      </c>
      <c r="B56" s="184"/>
      <c r="C56" s="184"/>
      <c r="D56" s="184"/>
      <c r="E56" s="184"/>
      <c r="F56" s="184"/>
      <c r="G56" s="184"/>
      <c r="H56" s="184"/>
      <c r="I56" s="184"/>
      <c r="J56" s="184"/>
      <c r="K56" s="6"/>
    </row>
    <row r="57" spans="1:11" ht="26.25" customHeight="1" x14ac:dyDescent="0.2">
      <c r="A57" s="46" t="s">
        <v>60</v>
      </c>
      <c r="B57" s="22" t="s">
        <v>16</v>
      </c>
      <c r="C57" s="23" t="s">
        <v>61</v>
      </c>
      <c r="D57" s="15">
        <f>130000-49500</f>
        <v>80500</v>
      </c>
      <c r="E57" s="48">
        <f>D57</f>
        <v>80500</v>
      </c>
      <c r="F57" s="49">
        <f>D57+G57+H57+I57+J57</f>
        <v>80500</v>
      </c>
      <c r="G57" s="50">
        <v>0</v>
      </c>
      <c r="H57" s="50">
        <v>0</v>
      </c>
      <c r="I57" s="50">
        <v>0</v>
      </c>
      <c r="J57" s="50">
        <v>0</v>
      </c>
      <c r="K57" s="6"/>
    </row>
    <row r="58" spans="1:11" ht="18" customHeight="1" x14ac:dyDescent="0.2">
      <c r="A58" s="194" t="s">
        <v>62</v>
      </c>
      <c r="B58" s="194"/>
      <c r="C58" s="194"/>
      <c r="D58" s="17">
        <f t="shared" ref="D58:J58" si="5">SUM(D57:D57)</f>
        <v>80500</v>
      </c>
      <c r="E58" s="17">
        <f t="shared" si="5"/>
        <v>80500</v>
      </c>
      <c r="F58" s="17">
        <f t="shared" si="5"/>
        <v>80500</v>
      </c>
      <c r="G58" s="17">
        <f t="shared" si="5"/>
        <v>0</v>
      </c>
      <c r="H58" s="17">
        <f t="shared" si="5"/>
        <v>0</v>
      </c>
      <c r="I58" s="17">
        <f t="shared" si="5"/>
        <v>0</v>
      </c>
      <c r="J58" s="17">
        <f t="shared" si="5"/>
        <v>0</v>
      </c>
      <c r="K58" s="6"/>
    </row>
    <row r="59" spans="1:11" ht="21" customHeight="1" x14ac:dyDescent="0.2">
      <c r="A59" s="196" t="s">
        <v>63</v>
      </c>
      <c r="B59" s="196"/>
      <c r="C59" s="196"/>
      <c r="D59" s="196"/>
      <c r="E59" s="196"/>
      <c r="F59" s="196"/>
      <c r="G59" s="196"/>
      <c r="H59" s="196"/>
      <c r="I59" s="196"/>
      <c r="J59" s="196"/>
      <c r="K59" s="6"/>
    </row>
    <row r="60" spans="1:11" ht="18" customHeight="1" x14ac:dyDescent="0.2">
      <c r="A60" s="46" t="s">
        <v>64</v>
      </c>
      <c r="B60" s="22" t="s">
        <v>16</v>
      </c>
      <c r="C60" s="23" t="s">
        <v>65</v>
      </c>
      <c r="D60" s="15">
        <v>362400</v>
      </c>
      <c r="E60" s="15">
        <f t="shared" ref="E60:E84" si="6">D60</f>
        <v>362400</v>
      </c>
      <c r="F60" s="51">
        <f t="shared" ref="F60:F84" si="7">D60+G60+H60+I60+J60</f>
        <v>362400</v>
      </c>
      <c r="G60" s="15">
        <v>0</v>
      </c>
      <c r="H60" s="15">
        <v>0</v>
      </c>
      <c r="I60" s="15">
        <v>0</v>
      </c>
      <c r="J60" s="15">
        <v>0</v>
      </c>
      <c r="K60" s="6"/>
    </row>
    <row r="61" spans="1:11" ht="20.25" customHeight="1" x14ac:dyDescent="0.2">
      <c r="A61" s="46" t="s">
        <v>66</v>
      </c>
      <c r="B61" s="22" t="s">
        <v>16</v>
      </c>
      <c r="C61" s="23" t="s">
        <v>65</v>
      </c>
      <c r="D61" s="15">
        <v>353290</v>
      </c>
      <c r="E61" s="15">
        <f t="shared" si="6"/>
        <v>353290</v>
      </c>
      <c r="F61" s="51">
        <f t="shared" si="7"/>
        <v>353290</v>
      </c>
      <c r="G61" s="15">
        <v>0</v>
      </c>
      <c r="H61" s="15">
        <v>0</v>
      </c>
      <c r="I61" s="15">
        <v>0</v>
      </c>
      <c r="J61" s="15">
        <v>0</v>
      </c>
      <c r="K61" s="6"/>
    </row>
    <row r="62" spans="1:11" ht="25.5" x14ac:dyDescent="0.2">
      <c r="A62" s="46" t="s">
        <v>67</v>
      </c>
      <c r="B62" s="22" t="s">
        <v>16</v>
      </c>
      <c r="C62" s="23" t="s">
        <v>65</v>
      </c>
      <c r="D62" s="52">
        <v>0</v>
      </c>
      <c r="E62" s="15">
        <f>D62</f>
        <v>0</v>
      </c>
      <c r="F62" s="51">
        <f t="shared" si="7"/>
        <v>275000</v>
      </c>
      <c r="G62" s="52">
        <v>275000</v>
      </c>
      <c r="H62" s="15">
        <v>0</v>
      </c>
      <c r="I62" s="15">
        <v>0</v>
      </c>
      <c r="J62" s="15">
        <v>0</v>
      </c>
      <c r="K62" s="6"/>
    </row>
    <row r="63" spans="1:11" ht="33" customHeight="1" x14ac:dyDescent="0.2">
      <c r="A63" s="46" t="s">
        <v>68</v>
      </c>
      <c r="B63" s="22" t="s">
        <v>16</v>
      </c>
      <c r="C63" s="23" t="s">
        <v>65</v>
      </c>
      <c r="D63" s="52">
        <f>261000-250000</f>
        <v>11000</v>
      </c>
      <c r="E63" s="15">
        <f>D63</f>
        <v>11000</v>
      </c>
      <c r="F63" s="51">
        <f t="shared" si="7"/>
        <v>261000</v>
      </c>
      <c r="G63" s="15">
        <v>250000</v>
      </c>
      <c r="H63" s="15">
        <v>0</v>
      </c>
      <c r="I63" s="15">
        <v>0</v>
      </c>
      <c r="J63" s="15">
        <v>0</v>
      </c>
      <c r="K63" s="6"/>
    </row>
    <row r="64" spans="1:11" ht="25.5" x14ac:dyDescent="0.2">
      <c r="A64" s="46" t="s">
        <v>69</v>
      </c>
      <c r="B64" s="22" t="s">
        <v>16</v>
      </c>
      <c r="C64" s="23" t="s">
        <v>65</v>
      </c>
      <c r="D64" s="15">
        <v>66550</v>
      </c>
      <c r="E64" s="52">
        <f t="shared" si="6"/>
        <v>66550</v>
      </c>
      <c r="F64" s="16">
        <f t="shared" si="7"/>
        <v>66550</v>
      </c>
      <c r="G64" s="15">
        <v>0</v>
      </c>
      <c r="H64" s="15">
        <v>0</v>
      </c>
      <c r="I64" s="15">
        <v>0</v>
      </c>
      <c r="J64" s="15">
        <v>0</v>
      </c>
      <c r="K64" s="6"/>
    </row>
    <row r="65" spans="1:12" ht="14.25" x14ac:dyDescent="0.2">
      <c r="A65" s="46" t="s">
        <v>70</v>
      </c>
      <c r="B65" s="22"/>
      <c r="C65" s="23" t="s">
        <v>65</v>
      </c>
      <c r="D65" s="15">
        <v>327300</v>
      </c>
      <c r="E65" s="52">
        <v>327300</v>
      </c>
      <c r="F65" s="16">
        <f t="shared" si="7"/>
        <v>327300</v>
      </c>
      <c r="G65" s="15">
        <v>0</v>
      </c>
      <c r="H65" s="15">
        <v>0</v>
      </c>
      <c r="I65" s="15">
        <v>0</v>
      </c>
      <c r="J65" s="15">
        <v>0</v>
      </c>
      <c r="K65" s="6"/>
    </row>
    <row r="66" spans="1:12" ht="14.25" x14ac:dyDescent="0.2">
      <c r="A66" s="46" t="s">
        <v>71</v>
      </c>
      <c r="B66" s="22" t="s">
        <v>16</v>
      </c>
      <c r="C66" s="23" t="s">
        <v>65</v>
      </c>
      <c r="D66" s="15">
        <v>0</v>
      </c>
      <c r="E66" s="52">
        <f t="shared" si="6"/>
        <v>0</v>
      </c>
      <c r="F66" s="16">
        <f t="shared" si="7"/>
        <v>780000</v>
      </c>
      <c r="G66" s="15">
        <v>780000</v>
      </c>
      <c r="H66" s="15">
        <v>0</v>
      </c>
      <c r="I66" s="15">
        <v>0</v>
      </c>
      <c r="J66" s="15">
        <v>0</v>
      </c>
      <c r="K66" s="6"/>
    </row>
    <row r="67" spans="1:12" ht="14.25" x14ac:dyDescent="0.2">
      <c r="A67" s="46" t="s">
        <v>72</v>
      </c>
      <c r="B67" s="22" t="s">
        <v>16</v>
      </c>
      <c r="C67" s="23" t="s">
        <v>65</v>
      </c>
      <c r="D67" s="15">
        <v>0</v>
      </c>
      <c r="E67" s="52">
        <f t="shared" si="6"/>
        <v>0</v>
      </c>
      <c r="F67" s="16">
        <f t="shared" si="7"/>
        <v>105000000</v>
      </c>
      <c r="G67" s="15">
        <v>55000000</v>
      </c>
      <c r="H67" s="15">
        <v>50000000</v>
      </c>
      <c r="I67" s="15">
        <v>0</v>
      </c>
      <c r="J67" s="15">
        <v>0</v>
      </c>
      <c r="K67" s="6"/>
    </row>
    <row r="68" spans="1:12" ht="25.5" x14ac:dyDescent="0.2">
      <c r="A68" s="46" t="s">
        <v>73</v>
      </c>
      <c r="B68" s="22" t="s">
        <v>16</v>
      </c>
      <c r="C68" s="23" t="s">
        <v>65</v>
      </c>
      <c r="D68" s="15">
        <v>0</v>
      </c>
      <c r="E68" s="52">
        <f t="shared" si="6"/>
        <v>0</v>
      </c>
      <c r="F68" s="16">
        <f t="shared" si="7"/>
        <v>1000000</v>
      </c>
      <c r="G68" s="15">
        <v>500000</v>
      </c>
      <c r="H68" s="15">
        <v>500000</v>
      </c>
      <c r="I68" s="15">
        <v>0</v>
      </c>
      <c r="J68" s="15">
        <v>0</v>
      </c>
      <c r="K68" s="6"/>
    </row>
    <row r="69" spans="1:12" ht="25.5" x14ac:dyDescent="0.2">
      <c r="A69" s="46" t="s">
        <v>74</v>
      </c>
      <c r="B69" s="22" t="s">
        <v>16</v>
      </c>
      <c r="C69" s="23" t="s">
        <v>65</v>
      </c>
      <c r="D69" s="15">
        <v>0</v>
      </c>
      <c r="E69" s="52">
        <f t="shared" si="6"/>
        <v>0</v>
      </c>
      <c r="F69" s="16">
        <f t="shared" si="7"/>
        <v>410000</v>
      </c>
      <c r="G69" s="15">
        <v>210000</v>
      </c>
      <c r="H69" s="15">
        <v>200000</v>
      </c>
      <c r="I69" s="15">
        <v>0</v>
      </c>
      <c r="J69" s="15">
        <v>0</v>
      </c>
      <c r="K69" s="6"/>
    </row>
    <row r="70" spans="1:12" ht="38.25" x14ac:dyDescent="0.2">
      <c r="A70" s="53" t="s">
        <v>75</v>
      </c>
      <c r="B70" s="41" t="s">
        <v>16</v>
      </c>
      <c r="C70" s="41" t="s">
        <v>65</v>
      </c>
      <c r="D70" s="48">
        <v>6000</v>
      </c>
      <c r="E70" s="48">
        <f t="shared" si="6"/>
        <v>6000</v>
      </c>
      <c r="F70" s="49">
        <f t="shared" si="7"/>
        <v>13000</v>
      </c>
      <c r="G70" s="24">
        <v>7000</v>
      </c>
      <c r="H70" s="24">
        <v>0</v>
      </c>
      <c r="I70" s="24">
        <v>0</v>
      </c>
      <c r="J70" s="24">
        <v>0</v>
      </c>
      <c r="K70" s="54"/>
      <c r="L70" s="55"/>
    </row>
    <row r="71" spans="1:12" ht="25.5" x14ac:dyDescent="0.2">
      <c r="A71" s="53" t="s">
        <v>76</v>
      </c>
      <c r="B71" s="41" t="s">
        <v>16</v>
      </c>
      <c r="C71" s="41" t="s">
        <v>65</v>
      </c>
      <c r="D71" s="48">
        <v>1950000</v>
      </c>
      <c r="E71" s="48">
        <v>1950000</v>
      </c>
      <c r="F71" s="49">
        <f t="shared" si="7"/>
        <v>5698000</v>
      </c>
      <c r="G71" s="24">
        <f>3350000+78500+319500</f>
        <v>3748000</v>
      </c>
      <c r="H71" s="24">
        <v>0</v>
      </c>
      <c r="I71" s="24">
        <v>0</v>
      </c>
      <c r="J71" s="24">
        <v>0</v>
      </c>
      <c r="K71" s="56"/>
      <c r="L71" s="57"/>
    </row>
    <row r="72" spans="1:12" ht="25.5" x14ac:dyDescent="0.2">
      <c r="A72" s="53" t="s">
        <v>77</v>
      </c>
      <c r="B72" s="41" t="s">
        <v>16</v>
      </c>
      <c r="C72" s="41" t="s">
        <v>65</v>
      </c>
      <c r="D72" s="48">
        <v>63000</v>
      </c>
      <c r="E72" s="48">
        <f>D72</f>
        <v>63000</v>
      </c>
      <c r="F72" s="49">
        <f>D72+G72+H72+I72+J72</f>
        <v>140100</v>
      </c>
      <c r="G72" s="24">
        <f>75100+2000</f>
        <v>77100</v>
      </c>
      <c r="H72" s="24">
        <v>0</v>
      </c>
      <c r="I72" s="24">
        <v>0</v>
      </c>
      <c r="J72" s="24">
        <v>0</v>
      </c>
      <c r="K72" s="58"/>
      <c r="L72" s="55"/>
    </row>
    <row r="73" spans="1:12" ht="25.5" x14ac:dyDescent="0.2">
      <c r="A73" s="53" t="s">
        <v>78</v>
      </c>
      <c r="B73" s="41" t="s">
        <v>16</v>
      </c>
      <c r="C73" s="41" t="s">
        <v>65</v>
      </c>
      <c r="D73" s="48">
        <v>350000</v>
      </c>
      <c r="E73" s="48">
        <f t="shared" si="6"/>
        <v>350000</v>
      </c>
      <c r="F73" s="49">
        <f t="shared" si="7"/>
        <v>350000</v>
      </c>
      <c r="G73" s="24">
        <v>0</v>
      </c>
      <c r="H73" s="24">
        <v>0</v>
      </c>
      <c r="I73" s="24">
        <v>0</v>
      </c>
      <c r="J73" s="24">
        <v>0</v>
      </c>
      <c r="K73" s="6"/>
    </row>
    <row r="74" spans="1:12" ht="25.5" x14ac:dyDescent="0.2">
      <c r="A74" s="53" t="s">
        <v>79</v>
      </c>
      <c r="B74" s="41" t="s">
        <v>16</v>
      </c>
      <c r="C74" s="41" t="s">
        <v>65</v>
      </c>
      <c r="D74" s="48">
        <v>1000</v>
      </c>
      <c r="E74" s="48">
        <f t="shared" si="6"/>
        <v>1000</v>
      </c>
      <c r="F74" s="49">
        <f t="shared" si="7"/>
        <v>5650000</v>
      </c>
      <c r="G74" s="24">
        <v>5649000</v>
      </c>
      <c r="H74" s="24">
        <v>0</v>
      </c>
      <c r="I74" s="24">
        <v>0</v>
      </c>
      <c r="J74" s="24">
        <v>0</v>
      </c>
      <c r="K74" s="6"/>
    </row>
    <row r="75" spans="1:12" ht="38.25" x14ac:dyDescent="0.2">
      <c r="A75" s="53" t="s">
        <v>80</v>
      </c>
      <c r="B75" s="41" t="s">
        <v>16</v>
      </c>
      <c r="C75" s="41" t="s">
        <v>65</v>
      </c>
      <c r="D75" s="48">
        <v>2000</v>
      </c>
      <c r="E75" s="48">
        <f t="shared" si="6"/>
        <v>2000</v>
      </c>
      <c r="F75" s="49">
        <f t="shared" si="7"/>
        <v>3500</v>
      </c>
      <c r="G75" s="24">
        <v>1500</v>
      </c>
      <c r="H75" s="24">
        <v>0</v>
      </c>
      <c r="I75" s="24">
        <v>0</v>
      </c>
      <c r="J75" s="24">
        <v>0</v>
      </c>
      <c r="K75" s="6"/>
    </row>
    <row r="76" spans="1:12" ht="25.5" x14ac:dyDescent="0.2">
      <c r="A76" s="53" t="s">
        <v>81</v>
      </c>
      <c r="B76" s="41" t="s">
        <v>16</v>
      </c>
      <c r="C76" s="41" t="s">
        <v>65</v>
      </c>
      <c r="D76" s="48">
        <v>1000</v>
      </c>
      <c r="E76" s="48">
        <f t="shared" si="6"/>
        <v>1000</v>
      </c>
      <c r="F76" s="49">
        <f t="shared" si="7"/>
        <v>50000</v>
      </c>
      <c r="G76" s="24">
        <v>49000</v>
      </c>
      <c r="H76" s="24">
        <v>0</v>
      </c>
      <c r="I76" s="24">
        <v>0</v>
      </c>
      <c r="J76" s="24">
        <v>0</v>
      </c>
      <c r="K76" s="6"/>
    </row>
    <row r="77" spans="1:12" ht="25.5" x14ac:dyDescent="0.2">
      <c r="A77" s="53" t="s">
        <v>82</v>
      </c>
      <c r="B77" s="41" t="s">
        <v>16</v>
      </c>
      <c r="C77" s="41" t="s">
        <v>65</v>
      </c>
      <c r="D77" s="48">
        <f>50000+10000</f>
        <v>60000</v>
      </c>
      <c r="E77" s="48">
        <f t="shared" si="6"/>
        <v>60000</v>
      </c>
      <c r="F77" s="49">
        <f t="shared" si="7"/>
        <v>27261000</v>
      </c>
      <c r="G77" s="24">
        <f>27201000</f>
        <v>27201000</v>
      </c>
      <c r="H77" s="24">
        <v>0</v>
      </c>
      <c r="I77" s="24">
        <v>0</v>
      </c>
      <c r="J77" s="24">
        <v>0</v>
      </c>
      <c r="K77" s="6"/>
    </row>
    <row r="78" spans="1:12" ht="25.5" x14ac:dyDescent="0.2">
      <c r="A78" s="53" t="s">
        <v>83</v>
      </c>
      <c r="B78" s="41" t="s">
        <v>16</v>
      </c>
      <c r="C78" s="41" t="s">
        <v>65</v>
      </c>
      <c r="D78" s="48">
        <v>1000</v>
      </c>
      <c r="E78" s="48">
        <f t="shared" si="6"/>
        <v>1000</v>
      </c>
      <c r="F78" s="49">
        <f t="shared" si="7"/>
        <v>6100</v>
      </c>
      <c r="G78" s="24">
        <v>5100</v>
      </c>
      <c r="H78" s="24">
        <v>0</v>
      </c>
      <c r="I78" s="24">
        <v>0</v>
      </c>
      <c r="J78" s="24">
        <v>0</v>
      </c>
      <c r="K78" s="6"/>
    </row>
    <row r="79" spans="1:12" ht="25.5" x14ac:dyDescent="0.2">
      <c r="A79" s="53" t="s">
        <v>84</v>
      </c>
      <c r="B79" s="41" t="s">
        <v>16</v>
      </c>
      <c r="C79" s="41" t="s">
        <v>65</v>
      </c>
      <c r="D79" s="48">
        <v>1000</v>
      </c>
      <c r="E79" s="48">
        <f t="shared" si="6"/>
        <v>1000</v>
      </c>
      <c r="F79" s="49">
        <f t="shared" si="7"/>
        <v>466000</v>
      </c>
      <c r="G79" s="24">
        <v>465000</v>
      </c>
      <c r="H79" s="24">
        <v>0</v>
      </c>
      <c r="I79" s="24">
        <v>0</v>
      </c>
      <c r="J79" s="24">
        <v>0</v>
      </c>
      <c r="K79" s="6"/>
    </row>
    <row r="80" spans="1:12" ht="20.100000000000001" customHeight="1" x14ac:dyDescent="0.2">
      <c r="A80" s="59" t="s">
        <v>85</v>
      </c>
      <c r="B80" s="41" t="s">
        <v>16</v>
      </c>
      <c r="C80" s="41" t="s">
        <v>65</v>
      </c>
      <c r="D80" s="48">
        <v>89300</v>
      </c>
      <c r="E80" s="48">
        <f t="shared" si="6"/>
        <v>89300</v>
      </c>
      <c r="F80" s="49">
        <f t="shared" si="7"/>
        <v>90000</v>
      </c>
      <c r="G80" s="24">
        <v>700</v>
      </c>
      <c r="H80" s="24">
        <v>0</v>
      </c>
      <c r="I80" s="24">
        <v>0</v>
      </c>
      <c r="J80" s="24">
        <v>0</v>
      </c>
      <c r="K80" s="6"/>
    </row>
    <row r="81" spans="1:11" ht="24" customHeight="1" x14ac:dyDescent="0.2">
      <c r="A81" s="59" t="s">
        <v>86</v>
      </c>
      <c r="B81" s="41" t="s">
        <v>16</v>
      </c>
      <c r="C81" s="41" t="s">
        <v>65</v>
      </c>
      <c r="D81" s="48">
        <v>247300</v>
      </c>
      <c r="E81" s="48">
        <v>247300</v>
      </c>
      <c r="F81" s="49">
        <f t="shared" si="7"/>
        <v>247300</v>
      </c>
      <c r="G81" s="24">
        <v>0</v>
      </c>
      <c r="H81" s="24">
        <v>0</v>
      </c>
      <c r="I81" s="24">
        <v>0</v>
      </c>
      <c r="J81" s="24">
        <v>0</v>
      </c>
      <c r="K81" s="6"/>
    </row>
    <row r="82" spans="1:11" ht="25.5" x14ac:dyDescent="0.2">
      <c r="A82" s="59" t="s">
        <v>87</v>
      </c>
      <c r="B82" s="41" t="s">
        <v>16</v>
      </c>
      <c r="C82" s="41" t="s">
        <v>65</v>
      </c>
      <c r="D82" s="48">
        <v>321700</v>
      </c>
      <c r="E82" s="48">
        <v>321700</v>
      </c>
      <c r="F82" s="49">
        <f t="shared" si="7"/>
        <v>321700</v>
      </c>
      <c r="G82" s="24">
        <v>0</v>
      </c>
      <c r="H82" s="24">
        <v>0</v>
      </c>
      <c r="I82" s="24">
        <v>0</v>
      </c>
      <c r="J82" s="24">
        <v>0</v>
      </c>
      <c r="K82" s="6"/>
    </row>
    <row r="83" spans="1:11" ht="25.5" x14ac:dyDescent="0.2">
      <c r="A83" s="59" t="s">
        <v>88</v>
      </c>
      <c r="B83" s="41" t="s">
        <v>16</v>
      </c>
      <c r="C83" s="41" t="s">
        <v>65</v>
      </c>
      <c r="D83" s="48">
        <v>78500</v>
      </c>
      <c r="E83" s="48">
        <v>78500</v>
      </c>
      <c r="F83" s="49">
        <f>D83+G83+H83+I83+J83</f>
        <v>78500</v>
      </c>
      <c r="G83" s="24">
        <v>0</v>
      </c>
      <c r="H83" s="24">
        <v>0</v>
      </c>
      <c r="I83" s="24">
        <v>0</v>
      </c>
      <c r="J83" s="24">
        <v>0</v>
      </c>
      <c r="K83" s="6"/>
    </row>
    <row r="84" spans="1:11" ht="27.75" customHeight="1" x14ac:dyDescent="0.2">
      <c r="A84" s="59" t="s">
        <v>89</v>
      </c>
      <c r="B84" s="41" t="s">
        <v>16</v>
      </c>
      <c r="C84" s="41" t="s">
        <v>65</v>
      </c>
      <c r="D84" s="48">
        <v>44650</v>
      </c>
      <c r="E84" s="48">
        <f t="shared" si="6"/>
        <v>44650</v>
      </c>
      <c r="F84" s="49">
        <f t="shared" si="7"/>
        <v>47650</v>
      </c>
      <c r="G84" s="24">
        <v>3000</v>
      </c>
      <c r="H84" s="24">
        <v>0</v>
      </c>
      <c r="I84" s="24">
        <v>0</v>
      </c>
      <c r="J84" s="24">
        <v>0</v>
      </c>
      <c r="K84" s="6"/>
    </row>
    <row r="85" spans="1:11" ht="18.75" customHeight="1" x14ac:dyDescent="0.2">
      <c r="A85" s="59" t="s">
        <v>90</v>
      </c>
      <c r="B85" s="41" t="s">
        <v>16</v>
      </c>
      <c r="C85" s="41" t="s">
        <v>65</v>
      </c>
      <c r="D85" s="48">
        <v>120000</v>
      </c>
      <c r="E85" s="48">
        <f>D85</f>
        <v>120000</v>
      </c>
      <c r="F85" s="49">
        <f>D85+G85+H85+I85+J85</f>
        <v>120000</v>
      </c>
      <c r="G85" s="24">
        <v>0</v>
      </c>
      <c r="H85" s="24">
        <v>0</v>
      </c>
      <c r="I85" s="24">
        <v>0</v>
      </c>
      <c r="J85" s="24">
        <v>0</v>
      </c>
      <c r="K85" s="6"/>
    </row>
    <row r="86" spans="1:11" ht="19.5" customHeight="1" x14ac:dyDescent="0.2">
      <c r="A86" s="59" t="s">
        <v>91</v>
      </c>
      <c r="B86" s="41">
        <v>2</v>
      </c>
      <c r="C86" s="41" t="s">
        <v>65</v>
      </c>
      <c r="D86" s="48">
        <v>1000</v>
      </c>
      <c r="E86" s="48">
        <f>D86</f>
        <v>1000</v>
      </c>
      <c r="F86" s="49">
        <f>D86+G86+H86+I86+J86</f>
        <v>326700</v>
      </c>
      <c r="G86" s="24">
        <v>325700</v>
      </c>
      <c r="H86" s="24">
        <v>0</v>
      </c>
      <c r="I86" s="24">
        <v>0</v>
      </c>
      <c r="J86" s="24">
        <v>0</v>
      </c>
      <c r="K86" s="6"/>
    </row>
    <row r="87" spans="1:11" ht="24.95" customHeight="1" x14ac:dyDescent="0.2">
      <c r="A87" s="194" t="s">
        <v>92</v>
      </c>
      <c r="B87" s="194"/>
      <c r="C87" s="194"/>
      <c r="D87" s="60">
        <f>SUM(D60:D86)</f>
        <v>4457990</v>
      </c>
      <c r="E87" s="60">
        <f t="shared" ref="E87:J87" si="8">SUM(E60:E86)</f>
        <v>4457990</v>
      </c>
      <c r="F87" s="60">
        <f t="shared" si="8"/>
        <v>149705090</v>
      </c>
      <c r="G87" s="60">
        <f t="shared" si="8"/>
        <v>94547100</v>
      </c>
      <c r="H87" s="60">
        <f t="shared" si="8"/>
        <v>50700000</v>
      </c>
      <c r="I87" s="60">
        <f t="shared" si="8"/>
        <v>0</v>
      </c>
      <c r="J87" s="60">
        <f t="shared" si="8"/>
        <v>0</v>
      </c>
      <c r="K87" s="6"/>
    </row>
    <row r="88" spans="1:11" ht="20.25" customHeight="1" x14ac:dyDescent="0.2">
      <c r="A88" s="184" t="s">
        <v>93</v>
      </c>
      <c r="B88" s="184"/>
      <c r="C88" s="184"/>
      <c r="D88" s="184"/>
      <c r="E88" s="184"/>
      <c r="F88" s="184"/>
      <c r="G88" s="184"/>
      <c r="H88" s="184"/>
      <c r="I88" s="184"/>
      <c r="J88" s="184"/>
      <c r="K88" s="6"/>
    </row>
    <row r="89" spans="1:11" ht="29.25" customHeight="1" x14ac:dyDescent="0.2">
      <c r="A89" s="21" t="s">
        <v>94</v>
      </c>
      <c r="B89" s="22" t="s">
        <v>16</v>
      </c>
      <c r="C89" s="23" t="s">
        <v>95</v>
      </c>
      <c r="D89" s="15">
        <f>469000-468000</f>
        <v>1000</v>
      </c>
      <c r="E89" s="15">
        <f>D89</f>
        <v>1000</v>
      </c>
      <c r="F89" s="16">
        <f>D89+G89+H89+I89+J89</f>
        <v>469000</v>
      </c>
      <c r="G89" s="15">
        <v>468000</v>
      </c>
      <c r="H89" s="15">
        <v>0</v>
      </c>
      <c r="I89" s="15">
        <v>0</v>
      </c>
      <c r="J89" s="15">
        <v>0</v>
      </c>
      <c r="K89" s="6"/>
    </row>
    <row r="90" spans="1:11" ht="19.5" customHeight="1" x14ac:dyDescent="0.2">
      <c r="A90" s="21" t="s">
        <v>96</v>
      </c>
      <c r="B90" s="22" t="s">
        <v>16</v>
      </c>
      <c r="C90" s="23" t="s">
        <v>95</v>
      </c>
      <c r="D90" s="15">
        <v>1000</v>
      </c>
      <c r="E90" s="15">
        <f>D90</f>
        <v>1000</v>
      </c>
      <c r="F90" s="16">
        <f>D90+G90+H90+I90+J90</f>
        <v>20941000</v>
      </c>
      <c r="G90" s="15">
        <v>20940000</v>
      </c>
      <c r="H90" s="15">
        <v>0</v>
      </c>
      <c r="I90" s="15">
        <v>0</v>
      </c>
      <c r="J90" s="15">
        <v>0</v>
      </c>
      <c r="K90" s="6"/>
    </row>
    <row r="91" spans="1:11" ht="23.25" customHeight="1" x14ac:dyDescent="0.2">
      <c r="A91" s="201" t="s">
        <v>97</v>
      </c>
      <c r="B91" s="201"/>
      <c r="C91" s="201"/>
      <c r="D91" s="60">
        <f t="shared" ref="D91:J91" si="9">SUM(D89:D90)</f>
        <v>2000</v>
      </c>
      <c r="E91" s="60">
        <f t="shared" si="9"/>
        <v>2000</v>
      </c>
      <c r="F91" s="60">
        <f t="shared" si="9"/>
        <v>21410000</v>
      </c>
      <c r="G91" s="60">
        <f t="shared" si="9"/>
        <v>21408000</v>
      </c>
      <c r="H91" s="60">
        <f t="shared" si="9"/>
        <v>0</v>
      </c>
      <c r="I91" s="60">
        <f t="shared" si="9"/>
        <v>0</v>
      </c>
      <c r="J91" s="60">
        <f t="shared" si="9"/>
        <v>0</v>
      </c>
      <c r="K91" s="6"/>
    </row>
    <row r="92" spans="1:11" ht="33" customHeight="1" x14ac:dyDescent="0.2">
      <c r="A92" s="184" t="s">
        <v>98</v>
      </c>
      <c r="B92" s="184"/>
      <c r="C92" s="184"/>
      <c r="D92" s="184"/>
      <c r="E92" s="184"/>
      <c r="F92" s="184"/>
      <c r="G92" s="184"/>
      <c r="H92" s="184"/>
      <c r="I92" s="184"/>
      <c r="J92" s="184"/>
      <c r="K92" s="6"/>
    </row>
    <row r="93" spans="1:11" ht="26.25" customHeight="1" x14ac:dyDescent="0.2">
      <c r="A93" s="19" t="s">
        <v>99</v>
      </c>
      <c r="B93" s="22" t="s">
        <v>16</v>
      </c>
      <c r="C93" s="23" t="s">
        <v>100</v>
      </c>
      <c r="D93" s="52">
        <v>12275455</v>
      </c>
      <c r="E93" s="52">
        <f t="shared" ref="E93:E113" si="10">D93</f>
        <v>12275455</v>
      </c>
      <c r="F93" s="16">
        <f t="shared" ref="F93:F140" si="11">D93+G93+H93+I93+J93</f>
        <v>32556605</v>
      </c>
      <c r="G93" s="15">
        <f>21779000+210000-540000-1167850</f>
        <v>20281150</v>
      </c>
      <c r="H93" s="15">
        <v>0</v>
      </c>
      <c r="I93" s="15">
        <v>0</v>
      </c>
      <c r="J93" s="15">
        <v>0</v>
      </c>
      <c r="K93" s="6"/>
    </row>
    <row r="94" spans="1:11" ht="18.75" customHeight="1" x14ac:dyDescent="0.2">
      <c r="A94" s="19" t="s">
        <v>101</v>
      </c>
      <c r="B94" s="22" t="s">
        <v>16</v>
      </c>
      <c r="C94" s="23" t="s">
        <v>100</v>
      </c>
      <c r="D94" s="52">
        <v>48000</v>
      </c>
      <c r="E94" s="52">
        <f>D94</f>
        <v>48000</v>
      </c>
      <c r="F94" s="16">
        <f t="shared" si="11"/>
        <v>48000</v>
      </c>
      <c r="G94" s="15">
        <v>0</v>
      </c>
      <c r="H94" s="15"/>
      <c r="I94" s="15"/>
      <c r="J94" s="15"/>
      <c r="K94" s="6"/>
    </row>
    <row r="95" spans="1:11" ht="25.5" x14ac:dyDescent="0.2">
      <c r="A95" s="46" t="s">
        <v>102</v>
      </c>
      <c r="B95" s="22" t="s">
        <v>16</v>
      </c>
      <c r="C95" s="23" t="s">
        <v>100</v>
      </c>
      <c r="D95" s="52">
        <v>161000</v>
      </c>
      <c r="E95" s="52">
        <f t="shared" si="10"/>
        <v>161000</v>
      </c>
      <c r="F95" s="16">
        <f t="shared" si="11"/>
        <v>308500</v>
      </c>
      <c r="G95" s="15">
        <f>142000+5500</f>
        <v>147500</v>
      </c>
      <c r="H95" s="15">
        <v>0</v>
      </c>
      <c r="I95" s="15">
        <v>0</v>
      </c>
      <c r="J95" s="15">
        <v>0</v>
      </c>
      <c r="K95" s="6"/>
    </row>
    <row r="96" spans="1:11" ht="25.5" x14ac:dyDescent="0.2">
      <c r="A96" s="46" t="s">
        <v>103</v>
      </c>
      <c r="B96" s="22" t="s">
        <v>16</v>
      </c>
      <c r="C96" s="23" t="s">
        <v>100</v>
      </c>
      <c r="D96" s="52">
        <v>102000</v>
      </c>
      <c r="E96" s="52">
        <f t="shared" si="10"/>
        <v>102000</v>
      </c>
      <c r="F96" s="16">
        <f t="shared" si="11"/>
        <v>193000</v>
      </c>
      <c r="G96" s="15">
        <v>91000</v>
      </c>
      <c r="H96" s="15">
        <v>0</v>
      </c>
      <c r="I96" s="15">
        <v>0</v>
      </c>
      <c r="J96" s="15">
        <v>0</v>
      </c>
      <c r="K96" s="6"/>
    </row>
    <row r="97" spans="1:11" ht="14.25" x14ac:dyDescent="0.2">
      <c r="A97" s="46" t="s">
        <v>104</v>
      </c>
      <c r="B97" s="22" t="s">
        <v>16</v>
      </c>
      <c r="C97" s="23" t="s">
        <v>100</v>
      </c>
      <c r="D97" s="52">
        <v>1000</v>
      </c>
      <c r="E97" s="52">
        <f t="shared" si="10"/>
        <v>1000</v>
      </c>
      <c r="F97" s="16">
        <f t="shared" si="11"/>
        <v>42450000</v>
      </c>
      <c r="G97" s="15">
        <f>16191000+4047750-1000+7000000+550000</f>
        <v>27787750</v>
      </c>
      <c r="H97" s="15">
        <f>10561250+4100000</f>
        <v>14661250</v>
      </c>
      <c r="I97" s="15">
        <v>0</v>
      </c>
      <c r="J97" s="15">
        <v>0</v>
      </c>
      <c r="K97" s="6"/>
    </row>
    <row r="98" spans="1:11" ht="14.25" x14ac:dyDescent="0.2">
      <c r="A98" s="46" t="s">
        <v>105</v>
      </c>
      <c r="B98" s="22" t="s">
        <v>16</v>
      </c>
      <c r="C98" s="23" t="s">
        <v>100</v>
      </c>
      <c r="D98" s="52">
        <v>946000</v>
      </c>
      <c r="E98" s="52">
        <f t="shared" si="10"/>
        <v>946000</v>
      </c>
      <c r="F98" s="16">
        <f t="shared" si="11"/>
        <v>946000</v>
      </c>
      <c r="G98" s="15">
        <v>0</v>
      </c>
      <c r="H98" s="15">
        <v>0</v>
      </c>
      <c r="I98" s="15">
        <v>0</v>
      </c>
      <c r="J98" s="15">
        <v>0</v>
      </c>
      <c r="K98" s="6"/>
    </row>
    <row r="99" spans="1:11" ht="25.5" x14ac:dyDescent="0.2">
      <c r="A99" s="46" t="s">
        <v>106</v>
      </c>
      <c r="B99" s="22" t="s">
        <v>16</v>
      </c>
      <c r="C99" s="23" t="s">
        <v>100</v>
      </c>
      <c r="D99" s="52">
        <v>1000</v>
      </c>
      <c r="E99" s="52">
        <f t="shared" si="10"/>
        <v>1000</v>
      </c>
      <c r="F99" s="16">
        <f t="shared" si="11"/>
        <v>327300</v>
      </c>
      <c r="G99" s="15">
        <f>220300+6000</f>
        <v>226300</v>
      </c>
      <c r="H99" s="15">
        <v>100000</v>
      </c>
      <c r="I99" s="15">
        <v>0</v>
      </c>
      <c r="J99" s="15">
        <v>0</v>
      </c>
      <c r="K99" s="6"/>
    </row>
    <row r="100" spans="1:11" ht="28.5" customHeight="1" x14ac:dyDescent="0.2">
      <c r="A100" s="46" t="s">
        <v>107</v>
      </c>
      <c r="B100" s="22" t="s">
        <v>16</v>
      </c>
      <c r="C100" s="23" t="s">
        <v>100</v>
      </c>
      <c r="D100" s="52">
        <v>1000</v>
      </c>
      <c r="E100" s="52">
        <f t="shared" si="10"/>
        <v>1000</v>
      </c>
      <c r="F100" s="16">
        <f t="shared" si="11"/>
        <v>272000</v>
      </c>
      <c r="G100" s="15">
        <v>135500</v>
      </c>
      <c r="H100" s="15">
        <v>135500</v>
      </c>
      <c r="I100" s="15">
        <v>0</v>
      </c>
      <c r="J100" s="15">
        <v>0</v>
      </c>
      <c r="K100" s="6"/>
    </row>
    <row r="101" spans="1:11" ht="14.25" x14ac:dyDescent="0.2">
      <c r="A101" s="46" t="s">
        <v>108</v>
      </c>
      <c r="B101" s="22" t="s">
        <v>16</v>
      </c>
      <c r="C101" s="23" t="s">
        <v>100</v>
      </c>
      <c r="D101" s="52">
        <f>15150-9100</f>
        <v>6050</v>
      </c>
      <c r="E101" s="52">
        <f t="shared" si="10"/>
        <v>6050</v>
      </c>
      <c r="F101" s="16">
        <f t="shared" si="11"/>
        <v>6050</v>
      </c>
      <c r="G101" s="15">
        <v>0</v>
      </c>
      <c r="H101" s="15">
        <v>0</v>
      </c>
      <c r="I101" s="15">
        <v>0</v>
      </c>
      <c r="J101" s="15">
        <v>0</v>
      </c>
      <c r="K101" s="6"/>
    </row>
    <row r="102" spans="1:11" ht="14.25" x14ac:dyDescent="0.2">
      <c r="A102" s="46" t="s">
        <v>109</v>
      </c>
      <c r="B102" s="22" t="s">
        <v>16</v>
      </c>
      <c r="C102" s="23" t="s">
        <v>100</v>
      </c>
      <c r="D102" s="52">
        <v>235000</v>
      </c>
      <c r="E102" s="52">
        <f t="shared" si="10"/>
        <v>235000</v>
      </c>
      <c r="F102" s="16">
        <f t="shared" si="11"/>
        <v>235000</v>
      </c>
      <c r="G102" s="15">
        <v>0</v>
      </c>
      <c r="H102" s="15">
        <v>0</v>
      </c>
      <c r="I102" s="15">
        <v>0</v>
      </c>
      <c r="J102" s="15">
        <v>0</v>
      </c>
      <c r="K102" s="6"/>
    </row>
    <row r="103" spans="1:11" ht="25.5" x14ac:dyDescent="0.2">
      <c r="A103" s="46" t="s">
        <v>110</v>
      </c>
      <c r="B103" s="22" t="s">
        <v>16</v>
      </c>
      <c r="C103" s="23" t="s">
        <v>100</v>
      </c>
      <c r="D103" s="52">
        <v>2500</v>
      </c>
      <c r="E103" s="52">
        <f t="shared" si="10"/>
        <v>2500</v>
      </c>
      <c r="F103" s="16">
        <f t="shared" si="11"/>
        <v>2500</v>
      </c>
      <c r="G103" s="15">
        <v>0</v>
      </c>
      <c r="H103" s="15">
        <v>0</v>
      </c>
      <c r="I103" s="15">
        <v>0</v>
      </c>
      <c r="J103" s="15">
        <v>0</v>
      </c>
      <c r="K103" s="6"/>
    </row>
    <row r="104" spans="1:11" ht="18.75" customHeight="1" x14ac:dyDescent="0.2">
      <c r="A104" s="46" t="s">
        <v>111</v>
      </c>
      <c r="B104" s="22" t="s">
        <v>16</v>
      </c>
      <c r="C104" s="23" t="s">
        <v>100</v>
      </c>
      <c r="D104" s="15">
        <v>163200</v>
      </c>
      <c r="E104" s="52">
        <f t="shared" si="10"/>
        <v>163200</v>
      </c>
      <c r="F104" s="16">
        <f t="shared" si="11"/>
        <v>163200</v>
      </c>
      <c r="G104" s="15">
        <v>0</v>
      </c>
      <c r="H104" s="15">
        <v>0</v>
      </c>
      <c r="I104" s="15">
        <v>0</v>
      </c>
      <c r="J104" s="15">
        <v>0</v>
      </c>
      <c r="K104" s="6"/>
    </row>
    <row r="105" spans="1:11" ht="16.5" customHeight="1" x14ac:dyDescent="0.2">
      <c r="A105" s="46" t="s">
        <v>112</v>
      </c>
      <c r="B105" s="22" t="s">
        <v>16</v>
      </c>
      <c r="C105" s="23" t="s">
        <v>100</v>
      </c>
      <c r="D105" s="52">
        <v>0</v>
      </c>
      <c r="E105" s="52">
        <f t="shared" si="10"/>
        <v>0</v>
      </c>
      <c r="F105" s="16">
        <f>D105+G105+H105+I105+J105</f>
        <v>6700</v>
      </c>
      <c r="G105" s="15">
        <f>5700+1000</f>
        <v>6700</v>
      </c>
      <c r="H105" s="15">
        <v>0</v>
      </c>
      <c r="I105" s="15">
        <v>0</v>
      </c>
      <c r="J105" s="15">
        <v>0</v>
      </c>
      <c r="K105" s="6"/>
    </row>
    <row r="106" spans="1:11" ht="18" customHeight="1" x14ac:dyDescent="0.2">
      <c r="A106" s="46" t="s">
        <v>113</v>
      </c>
      <c r="B106" s="22" t="s">
        <v>16</v>
      </c>
      <c r="C106" s="23" t="s">
        <v>100</v>
      </c>
      <c r="D106" s="52">
        <v>0</v>
      </c>
      <c r="E106" s="52">
        <f t="shared" si="10"/>
        <v>0</v>
      </c>
      <c r="F106" s="16">
        <f>D106+G106+H106+I106+J106</f>
        <v>68000</v>
      </c>
      <c r="G106" s="15">
        <f>67000+1000</f>
        <v>68000</v>
      </c>
      <c r="H106" s="15">
        <v>0</v>
      </c>
      <c r="I106" s="15">
        <v>0</v>
      </c>
      <c r="J106" s="15">
        <v>0</v>
      </c>
      <c r="K106" s="6"/>
    </row>
    <row r="107" spans="1:11" ht="25.5" x14ac:dyDescent="0.2">
      <c r="A107" s="46" t="s">
        <v>114</v>
      </c>
      <c r="B107" s="22" t="s">
        <v>16</v>
      </c>
      <c r="C107" s="23" t="s">
        <v>100</v>
      </c>
      <c r="D107" s="52">
        <v>0</v>
      </c>
      <c r="E107" s="52">
        <f t="shared" si="10"/>
        <v>0</v>
      </c>
      <c r="F107" s="16">
        <f>D107+G107+H107+I107+J107</f>
        <v>850</v>
      </c>
      <c r="G107" s="15">
        <v>850</v>
      </c>
      <c r="H107" s="15">
        <v>0</v>
      </c>
      <c r="I107" s="15">
        <v>0</v>
      </c>
      <c r="J107" s="15">
        <v>0</v>
      </c>
      <c r="K107" s="6"/>
    </row>
    <row r="108" spans="1:11" ht="27.75" customHeight="1" x14ac:dyDescent="0.2">
      <c r="A108" s="46" t="s">
        <v>115</v>
      </c>
      <c r="B108" s="22" t="s">
        <v>16</v>
      </c>
      <c r="C108" s="23" t="s">
        <v>100</v>
      </c>
      <c r="D108" s="52">
        <v>0</v>
      </c>
      <c r="E108" s="52">
        <f t="shared" si="10"/>
        <v>0</v>
      </c>
      <c r="F108" s="16">
        <f t="shared" si="11"/>
        <v>1000000</v>
      </c>
      <c r="G108" s="15">
        <f>999000+1000</f>
        <v>1000000</v>
      </c>
      <c r="H108" s="15">
        <v>0</v>
      </c>
      <c r="I108" s="15">
        <v>0</v>
      </c>
      <c r="J108" s="15">
        <v>0</v>
      </c>
      <c r="K108" s="6"/>
    </row>
    <row r="109" spans="1:11" ht="25.5" x14ac:dyDescent="0.2">
      <c r="A109" s="46" t="s">
        <v>116</v>
      </c>
      <c r="B109" s="22" t="s">
        <v>16</v>
      </c>
      <c r="C109" s="23" t="s">
        <v>100</v>
      </c>
      <c r="D109" s="52">
        <v>0</v>
      </c>
      <c r="E109" s="52">
        <f t="shared" si="10"/>
        <v>0</v>
      </c>
      <c r="F109" s="16">
        <f t="shared" si="11"/>
        <v>69500</v>
      </c>
      <c r="G109" s="15">
        <f>68500+1000</f>
        <v>69500</v>
      </c>
      <c r="H109" s="15">
        <v>0</v>
      </c>
      <c r="I109" s="15">
        <v>0</v>
      </c>
      <c r="J109" s="15">
        <v>0</v>
      </c>
      <c r="K109" s="6"/>
    </row>
    <row r="110" spans="1:11" ht="38.25" x14ac:dyDescent="0.2">
      <c r="A110" s="46" t="s">
        <v>117</v>
      </c>
      <c r="B110" s="22" t="s">
        <v>16</v>
      </c>
      <c r="C110" s="23" t="s">
        <v>100</v>
      </c>
      <c r="D110" s="52">
        <v>0</v>
      </c>
      <c r="E110" s="52">
        <f t="shared" si="10"/>
        <v>0</v>
      </c>
      <c r="F110" s="16">
        <f t="shared" si="11"/>
        <v>12000</v>
      </c>
      <c r="G110" s="15">
        <f>11000+1000</f>
        <v>12000</v>
      </c>
      <c r="H110" s="15">
        <v>0</v>
      </c>
      <c r="I110" s="15">
        <v>0</v>
      </c>
      <c r="J110" s="15">
        <v>0</v>
      </c>
      <c r="K110" s="6"/>
    </row>
    <row r="111" spans="1:11" ht="21.75" customHeight="1" x14ac:dyDescent="0.2">
      <c r="A111" s="46" t="s">
        <v>118</v>
      </c>
      <c r="B111" s="22" t="s">
        <v>16</v>
      </c>
      <c r="C111" s="23" t="s">
        <v>100</v>
      </c>
      <c r="D111" s="52">
        <v>0</v>
      </c>
      <c r="E111" s="52">
        <f t="shared" si="10"/>
        <v>0</v>
      </c>
      <c r="F111" s="16">
        <f t="shared" si="11"/>
        <v>21000</v>
      </c>
      <c r="G111" s="15">
        <f>20000+1000</f>
        <v>21000</v>
      </c>
      <c r="H111" s="15">
        <v>0</v>
      </c>
      <c r="I111" s="15">
        <v>0</v>
      </c>
      <c r="J111" s="15">
        <v>0</v>
      </c>
      <c r="K111" s="6"/>
    </row>
    <row r="112" spans="1:11" ht="22.5" customHeight="1" x14ac:dyDescent="0.2">
      <c r="A112" s="46" t="s">
        <v>119</v>
      </c>
      <c r="B112" s="22" t="s">
        <v>16</v>
      </c>
      <c r="C112" s="23" t="s">
        <v>100</v>
      </c>
      <c r="D112" s="52">
        <v>0</v>
      </c>
      <c r="E112" s="52">
        <f t="shared" si="10"/>
        <v>0</v>
      </c>
      <c r="F112" s="16">
        <f t="shared" si="11"/>
        <v>279000</v>
      </c>
      <c r="G112" s="15">
        <f>278000+1000</f>
        <v>279000</v>
      </c>
      <c r="H112" s="15">
        <v>0</v>
      </c>
      <c r="I112" s="15">
        <v>0</v>
      </c>
      <c r="J112" s="15">
        <v>0</v>
      </c>
      <c r="K112" s="6"/>
    </row>
    <row r="113" spans="1:11" ht="25.5" x14ac:dyDescent="0.2">
      <c r="A113" s="46" t="s">
        <v>120</v>
      </c>
      <c r="B113" s="22" t="s">
        <v>16</v>
      </c>
      <c r="C113" s="23" t="s">
        <v>100</v>
      </c>
      <c r="D113" s="52">
        <v>0</v>
      </c>
      <c r="E113" s="52">
        <f t="shared" si="10"/>
        <v>0</v>
      </c>
      <c r="F113" s="16">
        <f t="shared" si="11"/>
        <v>3300</v>
      </c>
      <c r="G113" s="15">
        <f>2300+1000</f>
        <v>3300</v>
      </c>
      <c r="H113" s="15">
        <v>0</v>
      </c>
      <c r="I113" s="15">
        <v>0</v>
      </c>
      <c r="J113" s="15">
        <v>0</v>
      </c>
      <c r="K113" s="6"/>
    </row>
    <row r="114" spans="1:11" ht="14.25" x14ac:dyDescent="0.2">
      <c r="A114" s="46" t="s">
        <v>121</v>
      </c>
      <c r="B114" s="22" t="s">
        <v>16</v>
      </c>
      <c r="C114" s="23" t="s">
        <v>100</v>
      </c>
      <c r="D114" s="52">
        <f>606900-605000</f>
        <v>1900</v>
      </c>
      <c r="E114" s="52">
        <f>D114</f>
        <v>1900</v>
      </c>
      <c r="F114" s="16">
        <f t="shared" si="11"/>
        <v>606900</v>
      </c>
      <c r="G114" s="15">
        <v>605000</v>
      </c>
      <c r="H114" s="15">
        <v>0</v>
      </c>
      <c r="I114" s="15">
        <v>0</v>
      </c>
      <c r="J114" s="15">
        <v>0</v>
      </c>
      <c r="K114" s="6"/>
    </row>
    <row r="115" spans="1:11" ht="14.25" x14ac:dyDescent="0.2">
      <c r="A115" s="46" t="s">
        <v>122</v>
      </c>
      <c r="B115" s="22" t="s">
        <v>16</v>
      </c>
      <c r="C115" s="23" t="s">
        <v>100</v>
      </c>
      <c r="D115" s="52">
        <v>1000</v>
      </c>
      <c r="E115" s="52">
        <f>D115</f>
        <v>1000</v>
      </c>
      <c r="F115" s="16">
        <f t="shared" si="11"/>
        <v>33643000</v>
      </c>
      <c r="G115" s="15">
        <v>22531400</v>
      </c>
      <c r="H115" s="15">
        <v>11110600</v>
      </c>
      <c r="I115" s="15">
        <v>0</v>
      </c>
      <c r="J115" s="15">
        <v>0</v>
      </c>
      <c r="K115" s="6"/>
    </row>
    <row r="116" spans="1:11" ht="25.5" x14ac:dyDescent="0.2">
      <c r="A116" s="46" t="s">
        <v>123</v>
      </c>
      <c r="B116" s="22" t="s">
        <v>16</v>
      </c>
      <c r="C116" s="23" t="s">
        <v>100</v>
      </c>
      <c r="D116" s="52">
        <v>1000</v>
      </c>
      <c r="E116" s="52">
        <f>D116</f>
        <v>1000</v>
      </c>
      <c r="F116" s="16">
        <f t="shared" si="11"/>
        <v>213000</v>
      </c>
      <c r="G116" s="15">
        <f>208000+4000</f>
        <v>212000</v>
      </c>
      <c r="H116" s="15">
        <v>0</v>
      </c>
      <c r="I116" s="15">
        <v>0</v>
      </c>
      <c r="J116" s="15">
        <v>0</v>
      </c>
      <c r="K116" s="6"/>
    </row>
    <row r="117" spans="1:11" ht="25.5" x14ac:dyDescent="0.2">
      <c r="A117" s="46" t="s">
        <v>124</v>
      </c>
      <c r="B117" s="22" t="s">
        <v>16</v>
      </c>
      <c r="C117" s="23" t="s">
        <v>100</v>
      </c>
      <c r="D117" s="52">
        <v>1000</v>
      </c>
      <c r="E117" s="52">
        <f>D117</f>
        <v>1000</v>
      </c>
      <c r="F117" s="16">
        <f t="shared" si="11"/>
        <v>83300</v>
      </c>
      <c r="G117" s="15">
        <v>82300</v>
      </c>
      <c r="H117" s="15">
        <v>0</v>
      </c>
      <c r="I117" s="15">
        <v>0</v>
      </c>
      <c r="J117" s="15">
        <v>0</v>
      </c>
      <c r="K117" s="6"/>
    </row>
    <row r="118" spans="1:11" ht="21" customHeight="1" x14ac:dyDescent="0.2">
      <c r="A118" s="53" t="s">
        <v>125</v>
      </c>
      <c r="B118" s="22" t="s">
        <v>16</v>
      </c>
      <c r="C118" s="23" t="s">
        <v>100</v>
      </c>
      <c r="D118" s="52">
        <f>245000+35000</f>
        <v>280000</v>
      </c>
      <c r="E118" s="52">
        <f t="shared" ref="E118:E131" si="12">D118</f>
        <v>280000</v>
      </c>
      <c r="F118" s="16">
        <f t="shared" si="11"/>
        <v>280000</v>
      </c>
      <c r="G118" s="15">
        <v>0</v>
      </c>
      <c r="H118" s="15">
        <v>0</v>
      </c>
      <c r="I118" s="15">
        <v>0</v>
      </c>
      <c r="J118" s="15">
        <v>0</v>
      </c>
      <c r="K118" s="6"/>
    </row>
    <row r="119" spans="1:11" ht="14.25" x14ac:dyDescent="0.2">
      <c r="A119" s="53" t="s">
        <v>126</v>
      </c>
      <c r="B119" s="22" t="s">
        <v>16</v>
      </c>
      <c r="C119" s="23" t="s">
        <v>100</v>
      </c>
      <c r="D119" s="52">
        <f>15200+2000</f>
        <v>17200</v>
      </c>
      <c r="E119" s="52">
        <f t="shared" si="12"/>
        <v>17200</v>
      </c>
      <c r="F119" s="16">
        <f t="shared" si="11"/>
        <v>17200</v>
      </c>
      <c r="G119" s="15">
        <v>0</v>
      </c>
      <c r="H119" s="15">
        <v>0</v>
      </c>
      <c r="I119" s="15">
        <v>0</v>
      </c>
      <c r="J119" s="15">
        <v>0</v>
      </c>
      <c r="K119" s="6"/>
    </row>
    <row r="120" spans="1:11" ht="29.25" customHeight="1" x14ac:dyDescent="0.2">
      <c r="A120" s="53" t="s">
        <v>127</v>
      </c>
      <c r="B120" s="22" t="s">
        <v>16</v>
      </c>
      <c r="C120" s="23" t="s">
        <v>100</v>
      </c>
      <c r="D120" s="52">
        <v>3050</v>
      </c>
      <c r="E120" s="52">
        <f t="shared" si="12"/>
        <v>3050</v>
      </c>
      <c r="F120" s="16">
        <f t="shared" si="11"/>
        <v>3050</v>
      </c>
      <c r="G120" s="15">
        <v>0</v>
      </c>
      <c r="H120" s="15">
        <v>0</v>
      </c>
      <c r="I120" s="15">
        <v>0</v>
      </c>
      <c r="J120" s="15">
        <v>0</v>
      </c>
      <c r="K120" s="6"/>
    </row>
    <row r="121" spans="1:11" ht="18.75" customHeight="1" x14ac:dyDescent="0.2">
      <c r="A121" s="53" t="s">
        <v>128</v>
      </c>
      <c r="B121" s="22" t="s">
        <v>16</v>
      </c>
      <c r="C121" s="23" t="s">
        <v>100</v>
      </c>
      <c r="D121" s="52">
        <v>297000</v>
      </c>
      <c r="E121" s="52">
        <f t="shared" si="12"/>
        <v>297000</v>
      </c>
      <c r="F121" s="16">
        <f t="shared" si="11"/>
        <v>297000</v>
      </c>
      <c r="G121" s="15">
        <v>0</v>
      </c>
      <c r="H121" s="15"/>
      <c r="I121" s="15"/>
      <c r="J121" s="15"/>
      <c r="K121" s="6"/>
    </row>
    <row r="122" spans="1:11" ht="14.25" x14ac:dyDescent="0.2">
      <c r="A122" s="53" t="s">
        <v>129</v>
      </c>
      <c r="B122" s="22" t="s">
        <v>16</v>
      </c>
      <c r="C122" s="23" t="s">
        <v>100</v>
      </c>
      <c r="D122" s="52">
        <f>15500+2000-2000</f>
        <v>15500</v>
      </c>
      <c r="E122" s="52">
        <f t="shared" si="12"/>
        <v>15500</v>
      </c>
      <c r="F122" s="16">
        <f t="shared" si="11"/>
        <v>15500</v>
      </c>
      <c r="G122" s="15">
        <v>0</v>
      </c>
      <c r="H122" s="15">
        <v>0</v>
      </c>
      <c r="I122" s="15">
        <v>0</v>
      </c>
      <c r="J122" s="15">
        <v>0</v>
      </c>
      <c r="K122" s="6"/>
    </row>
    <row r="123" spans="1:11" ht="25.5" x14ac:dyDescent="0.2">
      <c r="A123" s="53" t="s">
        <v>130</v>
      </c>
      <c r="B123" s="22" t="s">
        <v>16</v>
      </c>
      <c r="C123" s="23" t="s">
        <v>100</v>
      </c>
      <c r="D123" s="52">
        <v>3050</v>
      </c>
      <c r="E123" s="52">
        <f t="shared" si="12"/>
        <v>3050</v>
      </c>
      <c r="F123" s="16">
        <f t="shared" si="11"/>
        <v>3050</v>
      </c>
      <c r="G123" s="15">
        <v>0</v>
      </c>
      <c r="H123" s="15"/>
      <c r="I123" s="15"/>
      <c r="J123" s="15"/>
      <c r="K123" s="6"/>
    </row>
    <row r="124" spans="1:11" ht="14.25" x14ac:dyDescent="0.2">
      <c r="A124" s="53" t="s">
        <v>131</v>
      </c>
      <c r="B124" s="22" t="s">
        <v>16</v>
      </c>
      <c r="C124" s="23" t="s">
        <v>100</v>
      </c>
      <c r="D124" s="52">
        <v>150000</v>
      </c>
      <c r="E124" s="52">
        <f t="shared" si="12"/>
        <v>150000</v>
      </c>
      <c r="F124" s="16">
        <f t="shared" si="11"/>
        <v>150000</v>
      </c>
      <c r="G124" s="15">
        <v>0</v>
      </c>
      <c r="H124" s="15"/>
      <c r="I124" s="15"/>
      <c r="J124" s="15"/>
      <c r="K124" s="6"/>
    </row>
    <row r="125" spans="1:11" ht="25.5" x14ac:dyDescent="0.2">
      <c r="A125" s="53" t="s">
        <v>132</v>
      </c>
      <c r="B125" s="22" t="s">
        <v>16</v>
      </c>
      <c r="C125" s="23" t="s">
        <v>100</v>
      </c>
      <c r="D125" s="52">
        <f>9150-2000</f>
        <v>7150</v>
      </c>
      <c r="E125" s="52">
        <f t="shared" si="12"/>
        <v>7150</v>
      </c>
      <c r="F125" s="16">
        <f t="shared" si="11"/>
        <v>7150</v>
      </c>
      <c r="G125" s="15"/>
      <c r="H125" s="15">
        <v>0</v>
      </c>
      <c r="I125" s="15">
        <v>0</v>
      </c>
      <c r="J125" s="15">
        <v>0</v>
      </c>
      <c r="K125" s="6"/>
    </row>
    <row r="126" spans="1:11" ht="25.5" x14ac:dyDescent="0.2">
      <c r="A126" s="61" t="s">
        <v>133</v>
      </c>
      <c r="B126" s="22" t="s">
        <v>16</v>
      </c>
      <c r="C126" s="23" t="s">
        <v>100</v>
      </c>
      <c r="D126" s="52">
        <v>1850</v>
      </c>
      <c r="E126" s="52">
        <f t="shared" si="12"/>
        <v>1850</v>
      </c>
      <c r="F126" s="16">
        <f t="shared" si="11"/>
        <v>1850</v>
      </c>
      <c r="G126" s="15">
        <v>0</v>
      </c>
      <c r="H126" s="15">
        <v>0</v>
      </c>
      <c r="I126" s="15">
        <v>0</v>
      </c>
      <c r="J126" s="15">
        <v>0</v>
      </c>
      <c r="K126" s="6"/>
    </row>
    <row r="127" spans="1:11" ht="14.25" x14ac:dyDescent="0.2">
      <c r="A127" s="46" t="s">
        <v>134</v>
      </c>
      <c r="B127" s="22" t="s">
        <v>16</v>
      </c>
      <c r="C127" s="23" t="s">
        <v>100</v>
      </c>
      <c r="D127" s="15">
        <f>213000-65500</f>
        <v>147500</v>
      </c>
      <c r="E127" s="52">
        <f t="shared" si="12"/>
        <v>147500</v>
      </c>
      <c r="F127" s="16">
        <f t="shared" si="11"/>
        <v>147500</v>
      </c>
      <c r="G127" s="15">
        <v>0</v>
      </c>
      <c r="H127" s="15">
        <v>0</v>
      </c>
      <c r="I127" s="15">
        <v>0</v>
      </c>
      <c r="J127" s="15">
        <v>0</v>
      </c>
      <c r="K127" s="6"/>
    </row>
    <row r="128" spans="1:11" ht="14.25" x14ac:dyDescent="0.2">
      <c r="A128" s="46" t="s">
        <v>135</v>
      </c>
      <c r="B128" s="22" t="s">
        <v>16</v>
      </c>
      <c r="C128" s="23" t="s">
        <v>100</v>
      </c>
      <c r="D128" s="52">
        <v>217600</v>
      </c>
      <c r="E128" s="52">
        <f>D128</f>
        <v>217600</v>
      </c>
      <c r="F128" s="16">
        <f>D128+G128+H128+I128+J128</f>
        <v>9033600</v>
      </c>
      <c r="G128" s="15">
        <v>8816000</v>
      </c>
      <c r="H128" s="15"/>
      <c r="I128" s="15">
        <v>0</v>
      </c>
      <c r="J128" s="15">
        <v>0</v>
      </c>
      <c r="K128" s="6"/>
    </row>
    <row r="129" spans="1:11" ht="24.95" customHeight="1" x14ac:dyDescent="0.2">
      <c r="A129" s="46" t="s">
        <v>136</v>
      </c>
      <c r="B129" s="22" t="s">
        <v>16</v>
      </c>
      <c r="C129" s="23" t="s">
        <v>100</v>
      </c>
      <c r="D129" s="52">
        <v>1000</v>
      </c>
      <c r="E129" s="52">
        <f>D129</f>
        <v>1000</v>
      </c>
      <c r="F129" s="16">
        <f>D129+G129+H129+I129+J129</f>
        <v>9500</v>
      </c>
      <c r="G129" s="15">
        <v>8500</v>
      </c>
      <c r="H129" s="15">
        <v>0</v>
      </c>
      <c r="I129" s="15">
        <v>0</v>
      </c>
      <c r="J129" s="15">
        <v>0</v>
      </c>
      <c r="K129" s="6"/>
    </row>
    <row r="130" spans="1:11" ht="24.95" customHeight="1" x14ac:dyDescent="0.2">
      <c r="A130" s="46" t="s">
        <v>137</v>
      </c>
      <c r="B130" s="22" t="s">
        <v>16</v>
      </c>
      <c r="C130" s="23" t="s">
        <v>100</v>
      </c>
      <c r="D130" s="52">
        <v>1000</v>
      </c>
      <c r="E130" s="52">
        <f>D130</f>
        <v>1000</v>
      </c>
      <c r="F130" s="16">
        <f>D130+G130+H130+I130+J130</f>
        <v>55000</v>
      </c>
      <c r="G130" s="15">
        <f>53000+1000</f>
        <v>54000</v>
      </c>
      <c r="H130" s="15">
        <v>0</v>
      </c>
      <c r="I130" s="15">
        <v>0</v>
      </c>
      <c r="J130" s="15">
        <v>0</v>
      </c>
      <c r="K130" s="6"/>
    </row>
    <row r="131" spans="1:11" ht="81" customHeight="1" x14ac:dyDescent="0.2">
      <c r="A131" s="61" t="s">
        <v>138</v>
      </c>
      <c r="B131" s="22" t="s">
        <v>16</v>
      </c>
      <c r="C131" s="23" t="s">
        <v>100</v>
      </c>
      <c r="D131" s="52">
        <v>0</v>
      </c>
      <c r="E131" s="52">
        <f t="shared" si="12"/>
        <v>0</v>
      </c>
      <c r="F131" s="16">
        <f t="shared" si="11"/>
        <v>163350</v>
      </c>
      <c r="G131" s="15">
        <v>163350</v>
      </c>
      <c r="H131" s="15">
        <v>0</v>
      </c>
      <c r="I131" s="15">
        <v>0</v>
      </c>
      <c r="J131" s="15">
        <v>0</v>
      </c>
      <c r="K131" s="6"/>
    </row>
    <row r="132" spans="1:11" ht="45" customHeight="1" x14ac:dyDescent="0.2">
      <c r="A132" s="61" t="s">
        <v>139</v>
      </c>
      <c r="B132" s="22" t="s">
        <v>16</v>
      </c>
      <c r="C132" s="23" t="s">
        <v>100</v>
      </c>
      <c r="D132" s="52">
        <v>0</v>
      </c>
      <c r="E132" s="52">
        <f>D132</f>
        <v>0</v>
      </c>
      <c r="F132" s="16">
        <f>D132+G132+H132+I132+J132</f>
        <v>5504000</v>
      </c>
      <c r="G132" s="15">
        <v>5504000</v>
      </c>
      <c r="H132" s="15">
        <v>0</v>
      </c>
      <c r="I132" s="15">
        <v>0</v>
      </c>
      <c r="J132" s="15">
        <v>0</v>
      </c>
      <c r="K132" s="6"/>
    </row>
    <row r="133" spans="1:11" ht="55.5" customHeight="1" x14ac:dyDescent="0.2">
      <c r="A133" s="61" t="s">
        <v>140</v>
      </c>
      <c r="B133" s="22" t="s">
        <v>16</v>
      </c>
      <c r="C133" s="23" t="s">
        <v>100</v>
      </c>
      <c r="D133" s="52">
        <v>0</v>
      </c>
      <c r="E133" s="52">
        <f>D133</f>
        <v>0</v>
      </c>
      <c r="F133" s="16">
        <f>D133+G133+H133+I133+J133</f>
        <v>16000</v>
      </c>
      <c r="G133" s="15">
        <v>16000</v>
      </c>
      <c r="H133" s="15">
        <v>0</v>
      </c>
      <c r="I133" s="15">
        <v>0</v>
      </c>
      <c r="J133" s="15">
        <v>0</v>
      </c>
      <c r="K133" s="6"/>
    </row>
    <row r="134" spans="1:11" ht="55.5" customHeight="1" x14ac:dyDescent="0.2">
      <c r="A134" s="61" t="s">
        <v>141</v>
      </c>
      <c r="B134" s="22" t="s">
        <v>16</v>
      </c>
      <c r="C134" s="23" t="s">
        <v>100</v>
      </c>
      <c r="D134" s="52">
        <v>0</v>
      </c>
      <c r="E134" s="52">
        <f>D134</f>
        <v>0</v>
      </c>
      <c r="F134" s="16">
        <f>D134+G134+H134+I134+J134</f>
        <v>10000</v>
      </c>
      <c r="G134" s="15">
        <v>10000</v>
      </c>
      <c r="H134" s="15">
        <v>0</v>
      </c>
      <c r="I134" s="15">
        <v>0</v>
      </c>
      <c r="J134" s="15">
        <v>0</v>
      </c>
      <c r="K134" s="6"/>
    </row>
    <row r="135" spans="1:11" ht="25.5" x14ac:dyDescent="0.2">
      <c r="A135" s="46" t="s">
        <v>142</v>
      </c>
      <c r="B135" s="22" t="s">
        <v>16</v>
      </c>
      <c r="C135" s="23" t="s">
        <v>100</v>
      </c>
      <c r="D135" s="52">
        <v>780000</v>
      </c>
      <c r="E135" s="52">
        <v>780000</v>
      </c>
      <c r="F135" s="16">
        <f>D135+G135+H135+I135+J135</f>
        <v>780000</v>
      </c>
      <c r="G135" s="15">
        <v>0</v>
      </c>
      <c r="H135" s="15">
        <v>0</v>
      </c>
      <c r="I135" s="15">
        <v>0</v>
      </c>
      <c r="J135" s="15">
        <v>0</v>
      </c>
      <c r="K135" s="6"/>
    </row>
    <row r="136" spans="1:11" ht="27.75" customHeight="1" x14ac:dyDescent="0.2">
      <c r="A136" s="46" t="s">
        <v>143</v>
      </c>
      <c r="B136" s="22" t="s">
        <v>16</v>
      </c>
      <c r="C136" s="23" t="s">
        <v>100</v>
      </c>
      <c r="D136" s="52">
        <v>7140</v>
      </c>
      <c r="E136" s="52">
        <f t="shared" ref="E136:E147" si="13">D136</f>
        <v>7140</v>
      </c>
      <c r="F136" s="16">
        <f t="shared" si="11"/>
        <v>7140</v>
      </c>
      <c r="G136" s="15"/>
      <c r="H136" s="15">
        <v>0</v>
      </c>
      <c r="I136" s="15">
        <v>0</v>
      </c>
      <c r="J136" s="15">
        <v>0</v>
      </c>
      <c r="K136" s="6"/>
    </row>
    <row r="137" spans="1:11" ht="25.5" customHeight="1" x14ac:dyDescent="0.2">
      <c r="A137" s="46" t="s">
        <v>144</v>
      </c>
      <c r="B137" s="22" t="s">
        <v>16</v>
      </c>
      <c r="C137" s="23" t="s">
        <v>100</v>
      </c>
      <c r="D137" s="52">
        <f>2050000+110000+26000</f>
        <v>2186000</v>
      </c>
      <c r="E137" s="52">
        <f t="shared" si="13"/>
        <v>2186000</v>
      </c>
      <c r="F137" s="16">
        <f t="shared" si="11"/>
        <v>19467900</v>
      </c>
      <c r="G137" s="15">
        <f>14870000+700000-110000</f>
        <v>15460000</v>
      </c>
      <c r="H137" s="15">
        <v>1821900</v>
      </c>
      <c r="I137" s="15">
        <v>0</v>
      </c>
      <c r="J137" s="15">
        <v>0</v>
      </c>
      <c r="K137" s="6"/>
    </row>
    <row r="138" spans="1:11" ht="25.5" x14ac:dyDescent="0.2">
      <c r="A138" s="46" t="s">
        <v>145</v>
      </c>
      <c r="B138" s="22" t="s">
        <v>16</v>
      </c>
      <c r="C138" s="23" t="s">
        <v>100</v>
      </c>
      <c r="D138" s="52">
        <f>35000-34000</f>
        <v>1000</v>
      </c>
      <c r="E138" s="52">
        <f t="shared" si="13"/>
        <v>1000</v>
      </c>
      <c r="F138" s="16">
        <f t="shared" si="11"/>
        <v>98000</v>
      </c>
      <c r="G138" s="15">
        <f>63000+34000</f>
        <v>97000</v>
      </c>
      <c r="H138" s="15">
        <v>0</v>
      </c>
      <c r="I138" s="15">
        <v>0</v>
      </c>
      <c r="J138" s="15">
        <v>0</v>
      </c>
      <c r="K138" s="6"/>
    </row>
    <row r="139" spans="1:11" ht="25.5" customHeight="1" x14ac:dyDescent="0.2">
      <c r="A139" s="46" t="s">
        <v>146</v>
      </c>
      <c r="B139" s="22" t="s">
        <v>16</v>
      </c>
      <c r="C139" s="23" t="s">
        <v>100</v>
      </c>
      <c r="D139" s="52">
        <f>116000-66000-25000</f>
        <v>25000</v>
      </c>
      <c r="E139" s="52">
        <f t="shared" si="13"/>
        <v>25000</v>
      </c>
      <c r="F139" s="16">
        <f t="shared" si="11"/>
        <v>319440</v>
      </c>
      <c r="G139" s="15">
        <f>203440+66000+25000</f>
        <v>294440</v>
      </c>
      <c r="H139" s="15"/>
      <c r="I139" s="15">
        <v>0</v>
      </c>
      <c r="J139" s="15">
        <v>0</v>
      </c>
      <c r="K139" s="6"/>
    </row>
    <row r="140" spans="1:11" ht="14.25" x14ac:dyDescent="0.2">
      <c r="A140" s="46" t="s">
        <v>147</v>
      </c>
      <c r="B140" s="22" t="s">
        <v>16</v>
      </c>
      <c r="C140" s="23" t="s">
        <v>100</v>
      </c>
      <c r="D140" s="52">
        <v>602600</v>
      </c>
      <c r="E140" s="52">
        <f t="shared" si="13"/>
        <v>602600</v>
      </c>
      <c r="F140" s="16">
        <f t="shared" si="11"/>
        <v>602600</v>
      </c>
      <c r="G140" s="52"/>
      <c r="H140" s="15">
        <v>0</v>
      </c>
      <c r="I140" s="15">
        <v>0</v>
      </c>
      <c r="J140" s="15">
        <v>0</v>
      </c>
      <c r="K140" s="6"/>
    </row>
    <row r="141" spans="1:11" ht="14.25" x14ac:dyDescent="0.2">
      <c r="A141" s="46" t="s">
        <v>148</v>
      </c>
      <c r="B141" s="22" t="s">
        <v>16</v>
      </c>
      <c r="C141" s="23" t="s">
        <v>100</v>
      </c>
      <c r="D141" s="52">
        <v>24700000</v>
      </c>
      <c r="E141" s="52">
        <f t="shared" si="13"/>
        <v>24700000</v>
      </c>
      <c r="F141" s="16">
        <f>D141+G141+H141+I141+J141</f>
        <v>24700000</v>
      </c>
      <c r="G141" s="15">
        <v>0</v>
      </c>
      <c r="H141" s="15">
        <v>0</v>
      </c>
      <c r="I141" s="15">
        <v>0</v>
      </c>
      <c r="J141" s="15">
        <v>0</v>
      </c>
      <c r="K141" s="6"/>
    </row>
    <row r="142" spans="1:11" ht="14.25" x14ac:dyDescent="0.2">
      <c r="A142" s="62" t="s">
        <v>149</v>
      </c>
      <c r="B142" s="22" t="s">
        <v>16</v>
      </c>
      <c r="C142" s="23" t="s">
        <v>100</v>
      </c>
      <c r="D142" s="15">
        <v>8600</v>
      </c>
      <c r="E142" s="52">
        <f t="shared" si="13"/>
        <v>8600</v>
      </c>
      <c r="F142" s="16">
        <f t="shared" ref="F142:F147" si="14">D142+G142+H142+I142+J142</f>
        <v>8600</v>
      </c>
      <c r="G142" s="15"/>
      <c r="H142" s="15">
        <v>0</v>
      </c>
      <c r="I142" s="15">
        <v>0</v>
      </c>
      <c r="J142" s="15">
        <v>0</v>
      </c>
      <c r="K142" s="6"/>
    </row>
    <row r="143" spans="1:11" ht="14.25" x14ac:dyDescent="0.2">
      <c r="A143" s="62" t="s">
        <v>150</v>
      </c>
      <c r="B143" s="22" t="s">
        <v>16</v>
      </c>
      <c r="C143" s="23" t="s">
        <v>100</v>
      </c>
      <c r="D143" s="15">
        <f>163500+20000</f>
        <v>183500</v>
      </c>
      <c r="E143" s="52">
        <f>D143</f>
        <v>183500</v>
      </c>
      <c r="F143" s="16">
        <f>D143+G143+H143+I143+J143</f>
        <v>183500</v>
      </c>
      <c r="G143" s="15">
        <v>0</v>
      </c>
      <c r="H143" s="15">
        <v>0</v>
      </c>
      <c r="I143" s="15">
        <v>0</v>
      </c>
      <c r="J143" s="15">
        <v>0</v>
      </c>
      <c r="K143" s="6"/>
    </row>
    <row r="144" spans="1:11" ht="25.5" x14ac:dyDescent="0.2">
      <c r="A144" s="46" t="s">
        <v>151</v>
      </c>
      <c r="B144" s="22" t="s">
        <v>16</v>
      </c>
      <c r="C144" s="23" t="s">
        <v>100</v>
      </c>
      <c r="D144" s="15">
        <v>2150</v>
      </c>
      <c r="E144" s="52">
        <f>D144</f>
        <v>2150</v>
      </c>
      <c r="F144" s="16">
        <f>D144+G144+H144+I144+J144</f>
        <v>4350</v>
      </c>
      <c r="G144" s="15">
        <v>2200</v>
      </c>
      <c r="H144" s="15">
        <v>0</v>
      </c>
      <c r="I144" s="15">
        <v>0</v>
      </c>
      <c r="J144" s="15">
        <v>0</v>
      </c>
      <c r="K144" s="6"/>
    </row>
    <row r="145" spans="1:11" ht="25.5" x14ac:dyDescent="0.2">
      <c r="A145" s="19" t="s">
        <v>152</v>
      </c>
      <c r="B145" s="22" t="s">
        <v>16</v>
      </c>
      <c r="C145" s="23" t="s">
        <v>100</v>
      </c>
      <c r="D145" s="15">
        <f>20000+2000-2000</f>
        <v>20000</v>
      </c>
      <c r="E145" s="52">
        <f>D145</f>
        <v>20000</v>
      </c>
      <c r="F145" s="16">
        <f>D145+G145+H145+I145+J145</f>
        <v>20000</v>
      </c>
      <c r="G145" s="15"/>
      <c r="H145" s="15">
        <v>0</v>
      </c>
      <c r="I145" s="15">
        <v>0</v>
      </c>
      <c r="J145" s="15">
        <v>0</v>
      </c>
      <c r="K145" s="6"/>
    </row>
    <row r="146" spans="1:11" ht="25.5" x14ac:dyDescent="0.2">
      <c r="A146" s="19" t="s">
        <v>153</v>
      </c>
      <c r="B146" s="22" t="s">
        <v>16</v>
      </c>
      <c r="C146" s="23" t="s">
        <v>100</v>
      </c>
      <c r="D146" s="15">
        <v>400000</v>
      </c>
      <c r="E146" s="52">
        <f t="shared" si="13"/>
        <v>400000</v>
      </c>
      <c r="F146" s="16">
        <f t="shared" si="14"/>
        <v>400000</v>
      </c>
      <c r="G146" s="15">
        <v>0</v>
      </c>
      <c r="H146" s="15">
        <v>0</v>
      </c>
      <c r="I146" s="15">
        <v>0</v>
      </c>
      <c r="J146" s="15">
        <v>0</v>
      </c>
      <c r="K146" s="6"/>
    </row>
    <row r="147" spans="1:11" ht="38.25" x14ac:dyDescent="0.2">
      <c r="A147" s="19" t="s">
        <v>154</v>
      </c>
      <c r="B147" s="22" t="s">
        <v>16</v>
      </c>
      <c r="C147" s="23" t="s">
        <v>100</v>
      </c>
      <c r="D147" s="15">
        <v>4200</v>
      </c>
      <c r="E147" s="52">
        <f t="shared" si="13"/>
        <v>4200</v>
      </c>
      <c r="F147" s="16">
        <f t="shared" si="14"/>
        <v>4200</v>
      </c>
      <c r="G147" s="15">
        <v>0</v>
      </c>
      <c r="H147" s="15">
        <v>0</v>
      </c>
      <c r="I147" s="15">
        <v>0</v>
      </c>
      <c r="J147" s="15">
        <v>0</v>
      </c>
      <c r="K147" s="6"/>
    </row>
    <row r="148" spans="1:11" ht="14.25" x14ac:dyDescent="0.2">
      <c r="A148" s="21" t="s">
        <v>155</v>
      </c>
      <c r="B148" s="22" t="s">
        <v>16</v>
      </c>
      <c r="C148" s="23" t="s">
        <v>100</v>
      </c>
      <c r="D148" s="15">
        <f>900000-249500</f>
        <v>650500</v>
      </c>
      <c r="E148" s="15">
        <f>D148</f>
        <v>650500</v>
      </c>
      <c r="F148" s="51">
        <f>E148+G148+H148+I148+J148</f>
        <v>900000</v>
      </c>
      <c r="G148" s="15">
        <v>249500</v>
      </c>
      <c r="H148" s="15">
        <v>0</v>
      </c>
      <c r="I148" s="15">
        <v>0</v>
      </c>
      <c r="J148" s="15">
        <v>0</v>
      </c>
      <c r="K148" s="6"/>
    </row>
    <row r="149" spans="1:11" ht="14.25" customHeight="1" x14ac:dyDescent="0.2">
      <c r="A149" s="53" t="s">
        <v>156</v>
      </c>
      <c r="B149" s="22" t="s">
        <v>16</v>
      </c>
      <c r="C149" s="23" t="s">
        <v>100</v>
      </c>
      <c r="D149" s="52">
        <v>0</v>
      </c>
      <c r="E149" s="52">
        <f>D149</f>
        <v>0</v>
      </c>
      <c r="F149" s="16">
        <f t="shared" ref="F149:F164" si="15">D149+G149+H149+I149+J149</f>
        <v>206000</v>
      </c>
      <c r="G149" s="15">
        <v>206000</v>
      </c>
      <c r="H149" s="15">
        <v>0</v>
      </c>
      <c r="I149" s="15">
        <v>0</v>
      </c>
      <c r="J149" s="15">
        <v>0</v>
      </c>
      <c r="K149" s="6"/>
    </row>
    <row r="150" spans="1:11" ht="63.75" x14ac:dyDescent="0.2">
      <c r="A150" s="53" t="s">
        <v>157</v>
      </c>
      <c r="B150" s="22" t="s">
        <v>16</v>
      </c>
      <c r="C150" s="23" t="s">
        <v>100</v>
      </c>
      <c r="D150" s="52">
        <v>0</v>
      </c>
      <c r="E150" s="52">
        <f>D150</f>
        <v>0</v>
      </c>
      <c r="F150" s="16">
        <f t="shared" si="15"/>
        <v>164000</v>
      </c>
      <c r="G150" s="15">
        <v>164000</v>
      </c>
      <c r="H150" s="15">
        <v>0</v>
      </c>
      <c r="I150" s="15">
        <v>0</v>
      </c>
      <c r="J150" s="15">
        <v>0</v>
      </c>
      <c r="K150" s="6"/>
    </row>
    <row r="151" spans="1:11" ht="25.5" x14ac:dyDescent="0.2">
      <c r="A151" s="53" t="s">
        <v>158</v>
      </c>
      <c r="B151" s="22" t="s">
        <v>16</v>
      </c>
      <c r="C151" s="23" t="s">
        <v>100</v>
      </c>
      <c r="D151" s="52">
        <v>323300</v>
      </c>
      <c r="E151" s="52">
        <f>D151</f>
        <v>323300</v>
      </c>
      <c r="F151" s="16">
        <f t="shared" si="15"/>
        <v>323300</v>
      </c>
      <c r="G151" s="15">
        <v>0</v>
      </c>
      <c r="H151" s="15">
        <v>0</v>
      </c>
      <c r="I151" s="15">
        <v>0</v>
      </c>
      <c r="J151" s="15">
        <v>0</v>
      </c>
      <c r="K151" s="6"/>
    </row>
    <row r="152" spans="1:11" ht="14.25" x14ac:dyDescent="0.2">
      <c r="A152" s="63" t="s">
        <v>159</v>
      </c>
      <c r="B152" s="22" t="s">
        <v>16</v>
      </c>
      <c r="C152" s="23" t="s">
        <v>100</v>
      </c>
      <c r="D152" s="24">
        <v>321000</v>
      </c>
      <c r="E152" s="24">
        <f t="shared" ref="E152:E165" si="16">D152</f>
        <v>321000</v>
      </c>
      <c r="F152" s="25">
        <f t="shared" si="15"/>
        <v>321000</v>
      </c>
      <c r="G152" s="15">
        <v>0</v>
      </c>
      <c r="H152" s="15">
        <v>0</v>
      </c>
      <c r="I152" s="15">
        <v>0</v>
      </c>
      <c r="J152" s="15">
        <v>0</v>
      </c>
      <c r="K152" s="6"/>
    </row>
    <row r="153" spans="1:11" ht="51" x14ac:dyDescent="0.2">
      <c r="A153" s="63" t="s">
        <v>160</v>
      </c>
      <c r="B153" s="22" t="s">
        <v>16</v>
      </c>
      <c r="C153" s="23" t="s">
        <v>100</v>
      </c>
      <c r="D153" s="24">
        <v>211000</v>
      </c>
      <c r="E153" s="24">
        <f t="shared" si="16"/>
        <v>211000</v>
      </c>
      <c r="F153" s="25">
        <f t="shared" si="15"/>
        <v>701000</v>
      </c>
      <c r="G153" s="15">
        <v>490000</v>
      </c>
      <c r="H153" s="15">
        <v>0</v>
      </c>
      <c r="I153" s="15">
        <v>0</v>
      </c>
      <c r="J153" s="15">
        <v>0</v>
      </c>
      <c r="K153" s="6"/>
    </row>
    <row r="154" spans="1:11" ht="36.75" customHeight="1" x14ac:dyDescent="0.2">
      <c r="A154" s="63" t="s">
        <v>161</v>
      </c>
      <c r="B154" s="22" t="s">
        <v>16</v>
      </c>
      <c r="C154" s="23" t="s">
        <v>100</v>
      </c>
      <c r="D154" s="24">
        <v>11900</v>
      </c>
      <c r="E154" s="24">
        <f>D154</f>
        <v>11900</v>
      </c>
      <c r="F154" s="25">
        <f t="shared" si="15"/>
        <v>11900</v>
      </c>
      <c r="G154" s="15">
        <v>0</v>
      </c>
      <c r="H154" s="15">
        <v>0</v>
      </c>
      <c r="I154" s="15">
        <v>0</v>
      </c>
      <c r="J154" s="15">
        <v>0</v>
      </c>
      <c r="K154" s="6"/>
    </row>
    <row r="155" spans="1:11" ht="25.5" x14ac:dyDescent="0.2">
      <c r="A155" s="63" t="s">
        <v>162</v>
      </c>
      <c r="B155" s="22" t="s">
        <v>16</v>
      </c>
      <c r="C155" s="23" t="s">
        <v>100</v>
      </c>
      <c r="D155" s="24">
        <v>29000</v>
      </c>
      <c r="E155" s="24">
        <f t="shared" si="16"/>
        <v>29000</v>
      </c>
      <c r="F155" s="25">
        <f t="shared" si="15"/>
        <v>29000</v>
      </c>
      <c r="G155" s="15">
        <v>0</v>
      </c>
      <c r="H155" s="15">
        <v>0</v>
      </c>
      <c r="I155" s="15">
        <v>0</v>
      </c>
      <c r="J155" s="15">
        <v>0</v>
      </c>
      <c r="K155" s="6"/>
    </row>
    <row r="156" spans="1:11" ht="25.5" x14ac:dyDescent="0.2">
      <c r="A156" s="63" t="s">
        <v>163</v>
      </c>
      <c r="B156" s="22" t="s">
        <v>16</v>
      </c>
      <c r="C156" s="23" t="s">
        <v>100</v>
      </c>
      <c r="D156" s="24">
        <v>91000</v>
      </c>
      <c r="E156" s="24">
        <f t="shared" si="16"/>
        <v>91000</v>
      </c>
      <c r="F156" s="25">
        <f t="shared" si="15"/>
        <v>91000</v>
      </c>
      <c r="G156" s="15">
        <v>0</v>
      </c>
      <c r="H156" s="15">
        <v>0</v>
      </c>
      <c r="I156" s="15">
        <v>0</v>
      </c>
      <c r="J156" s="15">
        <v>0</v>
      </c>
      <c r="K156" s="6"/>
    </row>
    <row r="157" spans="1:11" ht="25.5" x14ac:dyDescent="0.2">
      <c r="A157" s="63" t="s">
        <v>164</v>
      </c>
      <c r="B157" s="22" t="s">
        <v>16</v>
      </c>
      <c r="C157" s="23" t="s">
        <v>100</v>
      </c>
      <c r="D157" s="24">
        <v>91000</v>
      </c>
      <c r="E157" s="24">
        <f t="shared" si="16"/>
        <v>91000</v>
      </c>
      <c r="F157" s="25">
        <f t="shared" si="15"/>
        <v>91000</v>
      </c>
      <c r="G157" s="15">
        <v>0</v>
      </c>
      <c r="H157" s="15">
        <v>0</v>
      </c>
      <c r="I157" s="15">
        <v>0</v>
      </c>
      <c r="J157" s="15">
        <v>0</v>
      </c>
      <c r="K157" s="6"/>
    </row>
    <row r="158" spans="1:11" ht="25.5" x14ac:dyDescent="0.2">
      <c r="A158" s="63" t="s">
        <v>165</v>
      </c>
      <c r="B158" s="22" t="s">
        <v>16</v>
      </c>
      <c r="C158" s="23" t="s">
        <v>100</v>
      </c>
      <c r="D158" s="24">
        <f>36000-5000</f>
        <v>31000</v>
      </c>
      <c r="E158" s="24">
        <f t="shared" si="16"/>
        <v>31000</v>
      </c>
      <c r="F158" s="25">
        <f t="shared" si="15"/>
        <v>31000</v>
      </c>
      <c r="G158" s="15">
        <v>0</v>
      </c>
      <c r="H158" s="15">
        <v>0</v>
      </c>
      <c r="I158" s="15">
        <v>0</v>
      </c>
      <c r="J158" s="15">
        <v>0</v>
      </c>
      <c r="K158" s="6"/>
    </row>
    <row r="159" spans="1:11" ht="25.5" x14ac:dyDescent="0.2">
      <c r="A159" s="63" t="s">
        <v>166</v>
      </c>
      <c r="B159" s="22" t="s">
        <v>16</v>
      </c>
      <c r="C159" s="23" t="s">
        <v>100</v>
      </c>
      <c r="D159" s="24">
        <v>1000</v>
      </c>
      <c r="E159" s="24">
        <f t="shared" si="16"/>
        <v>1000</v>
      </c>
      <c r="F159" s="25">
        <f t="shared" si="15"/>
        <v>50000</v>
      </c>
      <c r="G159" s="15">
        <f>50000-1000</f>
        <v>49000</v>
      </c>
      <c r="H159" s="15">
        <v>0</v>
      </c>
      <c r="I159" s="15">
        <v>0</v>
      </c>
      <c r="J159" s="15">
        <v>0</v>
      </c>
      <c r="K159" s="6"/>
    </row>
    <row r="160" spans="1:11" ht="25.5" x14ac:dyDescent="0.2">
      <c r="A160" s="63" t="s">
        <v>167</v>
      </c>
      <c r="B160" s="22" t="s">
        <v>16</v>
      </c>
      <c r="C160" s="23" t="s">
        <v>100</v>
      </c>
      <c r="D160" s="24">
        <v>1000</v>
      </c>
      <c r="E160" s="24">
        <f t="shared" si="16"/>
        <v>1000</v>
      </c>
      <c r="F160" s="25">
        <f>D160+G160+H160+I160+J160</f>
        <v>1672000</v>
      </c>
      <c r="G160" s="15">
        <f>1672000-1000</f>
        <v>1671000</v>
      </c>
      <c r="H160" s="15">
        <v>0</v>
      </c>
      <c r="I160" s="15">
        <v>0</v>
      </c>
      <c r="J160" s="15">
        <v>0</v>
      </c>
      <c r="K160" s="6"/>
    </row>
    <row r="161" spans="1:11" ht="38.25" x14ac:dyDescent="0.2">
      <c r="A161" s="63" t="s">
        <v>168</v>
      </c>
      <c r="B161" s="22" t="s">
        <v>16</v>
      </c>
      <c r="C161" s="23" t="s">
        <v>100</v>
      </c>
      <c r="D161" s="24">
        <v>1000</v>
      </c>
      <c r="E161" s="24">
        <f t="shared" si="16"/>
        <v>1000</v>
      </c>
      <c r="F161" s="25">
        <f>D161+G161+H161+I161+J161</f>
        <v>10000</v>
      </c>
      <c r="G161" s="15">
        <f>10000-1000</f>
        <v>9000</v>
      </c>
      <c r="H161" s="15">
        <v>0</v>
      </c>
      <c r="I161" s="15">
        <v>0</v>
      </c>
      <c r="J161" s="15">
        <v>0</v>
      </c>
      <c r="K161" s="6"/>
    </row>
    <row r="162" spans="1:11" ht="25.5" x14ac:dyDescent="0.2">
      <c r="A162" s="63" t="s">
        <v>169</v>
      </c>
      <c r="B162" s="22" t="s">
        <v>16</v>
      </c>
      <c r="C162" s="23" t="s">
        <v>100</v>
      </c>
      <c r="D162" s="24">
        <v>1000</v>
      </c>
      <c r="E162" s="24">
        <f t="shared" si="16"/>
        <v>1000</v>
      </c>
      <c r="F162" s="25">
        <f t="shared" si="15"/>
        <v>120000</v>
      </c>
      <c r="G162" s="15">
        <f>99000+20000</f>
        <v>119000</v>
      </c>
      <c r="H162" s="15"/>
      <c r="I162" s="15"/>
      <c r="J162" s="15"/>
      <c r="K162" s="6"/>
    </row>
    <row r="163" spans="1:11" ht="14.25" x14ac:dyDescent="0.2">
      <c r="A163" s="64" t="s">
        <v>170</v>
      </c>
      <c r="B163" s="22" t="s">
        <v>16</v>
      </c>
      <c r="C163" s="23" t="s">
        <v>100</v>
      </c>
      <c r="D163" s="24">
        <v>31500</v>
      </c>
      <c r="E163" s="24">
        <f t="shared" si="16"/>
        <v>31500</v>
      </c>
      <c r="F163" s="25">
        <f t="shared" si="15"/>
        <v>31500</v>
      </c>
      <c r="G163" s="15">
        <v>0</v>
      </c>
      <c r="H163" s="15">
        <v>0</v>
      </c>
      <c r="I163" s="15">
        <v>0</v>
      </c>
      <c r="J163" s="15">
        <v>0</v>
      </c>
      <c r="K163" s="6"/>
    </row>
    <row r="164" spans="1:11" ht="19.5" customHeight="1" x14ac:dyDescent="0.2">
      <c r="A164" s="64" t="s">
        <v>171</v>
      </c>
      <c r="B164" s="22" t="s">
        <v>16</v>
      </c>
      <c r="C164" s="23" t="s">
        <v>100</v>
      </c>
      <c r="D164" s="24">
        <v>24000</v>
      </c>
      <c r="E164" s="24">
        <f t="shared" si="16"/>
        <v>24000</v>
      </c>
      <c r="F164" s="25">
        <f t="shared" si="15"/>
        <v>24000</v>
      </c>
      <c r="G164" s="15">
        <v>0</v>
      </c>
      <c r="H164" s="15">
        <v>0</v>
      </c>
      <c r="I164" s="15">
        <v>0</v>
      </c>
      <c r="J164" s="15">
        <v>0</v>
      </c>
      <c r="K164" s="6"/>
    </row>
    <row r="165" spans="1:11" ht="20.25" customHeight="1" x14ac:dyDescent="0.2">
      <c r="A165" s="64" t="s">
        <v>15</v>
      </c>
      <c r="B165" s="22" t="s">
        <v>16</v>
      </c>
      <c r="C165" s="23" t="s">
        <v>100</v>
      </c>
      <c r="D165" s="24">
        <v>55500</v>
      </c>
      <c r="E165" s="24">
        <f t="shared" si="16"/>
        <v>55500</v>
      </c>
      <c r="F165" s="25">
        <f>D165+G165+H165+I165+J165</f>
        <v>55500</v>
      </c>
      <c r="G165" s="15">
        <v>0</v>
      </c>
      <c r="H165" s="15">
        <v>0</v>
      </c>
      <c r="I165" s="15">
        <v>0</v>
      </c>
      <c r="J165" s="15">
        <v>0</v>
      </c>
      <c r="K165" s="6"/>
    </row>
    <row r="166" spans="1:11" ht="19.5" customHeight="1" x14ac:dyDescent="0.2">
      <c r="A166" s="64" t="s">
        <v>172</v>
      </c>
      <c r="B166" s="22" t="s">
        <v>16</v>
      </c>
      <c r="C166" s="23" t="s">
        <v>100</v>
      </c>
      <c r="D166" s="24">
        <v>0</v>
      </c>
      <c r="E166" s="24">
        <f>D166</f>
        <v>0</v>
      </c>
      <c r="F166" s="25">
        <f>D166+G166+H166+I166+J166</f>
        <v>3860500</v>
      </c>
      <c r="G166" s="15">
        <v>3860500</v>
      </c>
      <c r="H166" s="15">
        <v>0</v>
      </c>
      <c r="I166" s="15">
        <v>0</v>
      </c>
      <c r="J166" s="15">
        <v>0</v>
      </c>
      <c r="K166" s="6"/>
    </row>
    <row r="167" spans="1:11" ht="37.5" customHeight="1" x14ac:dyDescent="0.2">
      <c r="A167" s="201" t="s">
        <v>173</v>
      </c>
      <c r="B167" s="201"/>
      <c r="C167" s="201"/>
      <c r="D167" s="60">
        <f t="shared" ref="D167:J167" si="17">SUM(D93:D166)</f>
        <v>45883895</v>
      </c>
      <c r="E167" s="60">
        <f t="shared" si="17"/>
        <v>45883895</v>
      </c>
      <c r="F167" s="60">
        <f t="shared" si="17"/>
        <v>184516885</v>
      </c>
      <c r="G167" s="60">
        <f t="shared" si="17"/>
        <v>110803740</v>
      </c>
      <c r="H167" s="60">
        <f t="shared" si="17"/>
        <v>27829250</v>
      </c>
      <c r="I167" s="60">
        <f t="shared" si="17"/>
        <v>0</v>
      </c>
      <c r="J167" s="60">
        <f t="shared" si="17"/>
        <v>0</v>
      </c>
      <c r="K167" s="6"/>
    </row>
    <row r="168" spans="1:11" ht="32.25" customHeight="1" x14ac:dyDescent="0.2">
      <c r="A168" s="202" t="s">
        <v>174</v>
      </c>
      <c r="B168" s="203"/>
      <c r="C168" s="203"/>
      <c r="D168" s="203"/>
      <c r="E168" s="203"/>
      <c r="F168" s="203"/>
      <c r="G168" s="203"/>
      <c r="H168" s="203"/>
      <c r="I168" s="203"/>
      <c r="J168" s="204"/>
      <c r="K168" s="6"/>
    </row>
    <row r="169" spans="1:11" ht="28.5" customHeight="1" x14ac:dyDescent="0.2">
      <c r="A169" s="46" t="s">
        <v>175</v>
      </c>
      <c r="B169" s="22" t="s">
        <v>16</v>
      </c>
      <c r="C169" s="23" t="s">
        <v>176</v>
      </c>
      <c r="D169" s="15">
        <v>170000</v>
      </c>
      <c r="E169" s="52">
        <f t="shared" ref="E169:E195" si="18">D169</f>
        <v>170000</v>
      </c>
      <c r="F169" s="16">
        <f t="shared" ref="F169:F195" si="19">D169+G169+H169+I169+J169</f>
        <v>170000</v>
      </c>
      <c r="G169" s="15">
        <v>0</v>
      </c>
      <c r="H169" s="15">
        <v>0</v>
      </c>
      <c r="I169" s="15">
        <v>0</v>
      </c>
      <c r="J169" s="15">
        <v>0</v>
      </c>
      <c r="K169" s="6"/>
    </row>
    <row r="170" spans="1:11" ht="45" customHeight="1" x14ac:dyDescent="0.2">
      <c r="A170" s="46" t="s">
        <v>177</v>
      </c>
      <c r="B170" s="22" t="s">
        <v>16</v>
      </c>
      <c r="C170" s="23" t="s">
        <v>176</v>
      </c>
      <c r="D170" s="15">
        <v>21500</v>
      </c>
      <c r="E170" s="52">
        <f t="shared" si="18"/>
        <v>21500</v>
      </c>
      <c r="F170" s="16">
        <f t="shared" si="19"/>
        <v>21500</v>
      </c>
      <c r="G170" s="15">
        <v>0</v>
      </c>
      <c r="H170" s="15">
        <v>0</v>
      </c>
      <c r="I170" s="15">
        <v>0</v>
      </c>
      <c r="J170" s="15">
        <v>0</v>
      </c>
      <c r="K170" s="6"/>
    </row>
    <row r="171" spans="1:11" ht="38.25" x14ac:dyDescent="0.2">
      <c r="A171" s="46" t="s">
        <v>178</v>
      </c>
      <c r="B171" s="22" t="s">
        <v>16</v>
      </c>
      <c r="C171" s="23" t="s">
        <v>176</v>
      </c>
      <c r="D171" s="15">
        <v>18150</v>
      </c>
      <c r="E171" s="52">
        <f t="shared" si="18"/>
        <v>18150</v>
      </c>
      <c r="F171" s="16">
        <f t="shared" si="19"/>
        <v>18150</v>
      </c>
      <c r="G171" s="15">
        <v>0</v>
      </c>
      <c r="H171" s="15">
        <v>0</v>
      </c>
      <c r="I171" s="15">
        <v>0</v>
      </c>
      <c r="J171" s="15">
        <v>0</v>
      </c>
      <c r="K171" s="6"/>
    </row>
    <row r="172" spans="1:11" ht="45.75" customHeight="1" x14ac:dyDescent="0.2">
      <c r="A172" s="61" t="s">
        <v>179</v>
      </c>
      <c r="B172" s="22" t="s">
        <v>16</v>
      </c>
      <c r="C172" s="23" t="s">
        <v>176</v>
      </c>
      <c r="D172" s="15">
        <v>0</v>
      </c>
      <c r="E172" s="52">
        <f>D172</f>
        <v>0</v>
      </c>
      <c r="F172" s="16">
        <f>D172+G172+H172+I172+J172</f>
        <v>120000</v>
      </c>
      <c r="G172" s="15">
        <v>120000</v>
      </c>
      <c r="H172" s="15">
        <v>0</v>
      </c>
      <c r="I172" s="15">
        <v>0</v>
      </c>
      <c r="J172" s="15">
        <v>0</v>
      </c>
      <c r="K172" s="6"/>
    </row>
    <row r="173" spans="1:11" ht="21.75" customHeight="1" x14ac:dyDescent="0.2">
      <c r="A173" s="19" t="s">
        <v>180</v>
      </c>
      <c r="B173" s="65" t="s">
        <v>16</v>
      </c>
      <c r="C173" s="65" t="s">
        <v>176</v>
      </c>
      <c r="D173" s="52">
        <v>19267000</v>
      </c>
      <c r="E173" s="52">
        <v>19267000</v>
      </c>
      <c r="F173" s="16">
        <f t="shared" si="19"/>
        <v>31700000</v>
      </c>
      <c r="G173" s="15">
        <v>12433000</v>
      </c>
      <c r="H173" s="15">
        <v>0</v>
      </c>
      <c r="I173" s="15">
        <v>0</v>
      </c>
      <c r="J173" s="15">
        <v>0</v>
      </c>
      <c r="K173" s="6"/>
    </row>
    <row r="174" spans="1:11" ht="27.75" customHeight="1" x14ac:dyDescent="0.2">
      <c r="A174" s="46" t="s">
        <v>181</v>
      </c>
      <c r="B174" s="65" t="s">
        <v>16</v>
      </c>
      <c r="C174" s="41" t="s">
        <v>176</v>
      </c>
      <c r="D174" s="52">
        <f>750000+450000</f>
        <v>1200000</v>
      </c>
      <c r="E174" s="52">
        <f>D174</f>
        <v>1200000</v>
      </c>
      <c r="F174" s="16">
        <f>D174+G174+H174+I174+J174</f>
        <v>2314000</v>
      </c>
      <c r="G174" s="15">
        <f>1516000-450000</f>
        <v>1066000</v>
      </c>
      <c r="H174" s="15">
        <v>16000</v>
      </c>
      <c r="I174" s="15">
        <v>16000</v>
      </c>
      <c r="J174" s="15">
        <v>16000</v>
      </c>
      <c r="K174" s="6" t="s">
        <v>182</v>
      </c>
    </row>
    <row r="175" spans="1:11" ht="27.75" customHeight="1" x14ac:dyDescent="0.2">
      <c r="A175" s="19" t="s">
        <v>183</v>
      </c>
      <c r="B175" s="65" t="s">
        <v>16</v>
      </c>
      <c r="C175" s="41" t="s">
        <v>176</v>
      </c>
      <c r="D175" s="52">
        <v>45000</v>
      </c>
      <c r="E175" s="52">
        <f>D175</f>
        <v>45000</v>
      </c>
      <c r="F175" s="16">
        <f>D175+G175+H175+I175+J175</f>
        <v>90000</v>
      </c>
      <c r="G175" s="15">
        <v>45000</v>
      </c>
      <c r="H175" s="15">
        <v>0</v>
      </c>
      <c r="I175" s="15">
        <v>0</v>
      </c>
      <c r="J175" s="15">
        <v>0</v>
      </c>
      <c r="K175" s="6" t="s">
        <v>182</v>
      </c>
    </row>
    <row r="176" spans="1:11" ht="14.25" x14ac:dyDescent="0.2">
      <c r="A176" s="62" t="s">
        <v>184</v>
      </c>
      <c r="B176" s="22" t="s">
        <v>16</v>
      </c>
      <c r="C176" s="23" t="s">
        <v>176</v>
      </c>
      <c r="D176" s="52">
        <v>1702000</v>
      </c>
      <c r="E176" s="52">
        <v>1702000</v>
      </c>
      <c r="F176" s="16">
        <f>D176+G176+H176+I176+J176</f>
        <v>1702000</v>
      </c>
      <c r="G176" s="15">
        <v>0</v>
      </c>
      <c r="H176" s="15">
        <v>0</v>
      </c>
      <c r="I176" s="15">
        <v>0</v>
      </c>
      <c r="J176" s="15">
        <v>0</v>
      </c>
      <c r="K176" s="6"/>
    </row>
    <row r="177" spans="1:11" ht="25.5" x14ac:dyDescent="0.2">
      <c r="A177" s="19" t="s">
        <v>185</v>
      </c>
      <c r="B177" s="65" t="s">
        <v>16</v>
      </c>
      <c r="C177" s="65" t="s">
        <v>176</v>
      </c>
      <c r="D177" s="52">
        <v>20000</v>
      </c>
      <c r="E177" s="52">
        <f t="shared" si="18"/>
        <v>20000</v>
      </c>
      <c r="F177" s="16">
        <f t="shared" si="19"/>
        <v>20000</v>
      </c>
      <c r="G177" s="15">
        <v>0</v>
      </c>
      <c r="H177" s="15">
        <v>0</v>
      </c>
      <c r="I177" s="15">
        <v>0</v>
      </c>
      <c r="J177" s="15">
        <v>0</v>
      </c>
      <c r="K177" s="6" t="s">
        <v>182</v>
      </c>
    </row>
    <row r="178" spans="1:11" ht="25.5" x14ac:dyDescent="0.2">
      <c r="A178" s="46" t="s">
        <v>186</v>
      </c>
      <c r="B178" s="65" t="s">
        <v>16</v>
      </c>
      <c r="C178" s="41" t="s">
        <v>176</v>
      </c>
      <c r="D178" s="52">
        <v>36000</v>
      </c>
      <c r="E178" s="52">
        <f t="shared" si="18"/>
        <v>36000</v>
      </c>
      <c r="F178" s="16">
        <f t="shared" si="19"/>
        <v>36000</v>
      </c>
      <c r="G178" s="15">
        <v>0</v>
      </c>
      <c r="H178" s="15">
        <v>0</v>
      </c>
      <c r="I178" s="15">
        <v>0</v>
      </c>
      <c r="J178" s="15">
        <v>0</v>
      </c>
      <c r="K178" s="6" t="s">
        <v>182</v>
      </c>
    </row>
    <row r="179" spans="1:11" ht="16.5" customHeight="1" x14ac:dyDescent="0.2">
      <c r="A179" s="46" t="s">
        <v>187</v>
      </c>
      <c r="B179" s="65" t="s">
        <v>16</v>
      </c>
      <c r="C179" s="41" t="s">
        <v>176</v>
      </c>
      <c r="D179" s="52">
        <v>2230000</v>
      </c>
      <c r="E179" s="52">
        <f t="shared" si="18"/>
        <v>2230000</v>
      </c>
      <c r="F179" s="16">
        <f t="shared" si="19"/>
        <v>2230000</v>
      </c>
      <c r="G179" s="15">
        <v>0</v>
      </c>
      <c r="H179" s="15">
        <v>0</v>
      </c>
      <c r="I179" s="15">
        <v>0</v>
      </c>
      <c r="J179" s="15">
        <v>0</v>
      </c>
      <c r="K179" s="6"/>
    </row>
    <row r="180" spans="1:11" ht="27.75" customHeight="1" x14ac:dyDescent="0.2">
      <c r="A180" s="46" t="s">
        <v>188</v>
      </c>
      <c r="B180" s="65" t="s">
        <v>16</v>
      </c>
      <c r="C180" s="41" t="s">
        <v>176</v>
      </c>
      <c r="D180" s="52">
        <v>30000</v>
      </c>
      <c r="E180" s="52">
        <f t="shared" si="18"/>
        <v>30000</v>
      </c>
      <c r="F180" s="16">
        <f t="shared" si="19"/>
        <v>30000</v>
      </c>
      <c r="G180" s="15">
        <v>0</v>
      </c>
      <c r="H180" s="15">
        <v>0</v>
      </c>
      <c r="I180" s="15">
        <v>0</v>
      </c>
      <c r="J180" s="15">
        <v>0</v>
      </c>
      <c r="K180" s="6"/>
    </row>
    <row r="181" spans="1:11" ht="27.75" customHeight="1" x14ac:dyDescent="0.2">
      <c r="A181" s="46" t="s">
        <v>189</v>
      </c>
      <c r="B181" s="65" t="s">
        <v>16</v>
      </c>
      <c r="C181" s="41" t="s">
        <v>176</v>
      </c>
      <c r="D181" s="52">
        <v>16000</v>
      </c>
      <c r="E181" s="52">
        <f t="shared" si="18"/>
        <v>16000</v>
      </c>
      <c r="F181" s="16">
        <f t="shared" si="19"/>
        <v>16000</v>
      </c>
      <c r="G181" s="15">
        <v>0</v>
      </c>
      <c r="H181" s="15">
        <v>0</v>
      </c>
      <c r="I181" s="15">
        <v>0</v>
      </c>
      <c r="J181" s="15">
        <v>0</v>
      </c>
      <c r="K181" s="6"/>
    </row>
    <row r="182" spans="1:11" ht="18" customHeight="1" x14ac:dyDescent="0.2">
      <c r="A182" s="46" t="s">
        <v>190</v>
      </c>
      <c r="B182" s="65" t="s">
        <v>16</v>
      </c>
      <c r="C182" s="41" t="s">
        <v>176</v>
      </c>
      <c r="D182" s="66">
        <v>5940000</v>
      </c>
      <c r="E182" s="52">
        <f>D182</f>
        <v>5940000</v>
      </c>
      <c r="F182" s="16">
        <f t="shared" si="19"/>
        <v>10910500</v>
      </c>
      <c r="G182" s="15">
        <f>5325000-354500</f>
        <v>4970500</v>
      </c>
      <c r="H182" s="15">
        <v>0</v>
      </c>
      <c r="I182" s="15">
        <v>0</v>
      </c>
      <c r="J182" s="15">
        <v>0</v>
      </c>
      <c r="K182" s="6"/>
    </row>
    <row r="183" spans="1:11" ht="27.75" customHeight="1" x14ac:dyDescent="0.2">
      <c r="A183" s="46" t="s">
        <v>191</v>
      </c>
      <c r="B183" s="65" t="s">
        <v>16</v>
      </c>
      <c r="C183" s="41" t="s">
        <v>176</v>
      </c>
      <c r="D183" s="52">
        <f>132000+2000</f>
        <v>134000</v>
      </c>
      <c r="E183" s="52">
        <f>D183</f>
        <v>134000</v>
      </c>
      <c r="F183" s="16">
        <f t="shared" si="19"/>
        <v>296000</v>
      </c>
      <c r="G183" s="15">
        <f>164000-2000</f>
        <v>162000</v>
      </c>
      <c r="H183" s="15">
        <v>0</v>
      </c>
      <c r="I183" s="15">
        <v>0</v>
      </c>
      <c r="J183" s="15">
        <v>0</v>
      </c>
      <c r="K183" s="6"/>
    </row>
    <row r="184" spans="1:11" ht="25.5" customHeight="1" x14ac:dyDescent="0.2">
      <c r="A184" s="46" t="s">
        <v>192</v>
      </c>
      <c r="B184" s="65" t="s">
        <v>16</v>
      </c>
      <c r="C184" s="41" t="s">
        <v>176</v>
      </c>
      <c r="D184" s="52">
        <v>25000</v>
      </c>
      <c r="E184" s="52">
        <f>D184</f>
        <v>25000</v>
      </c>
      <c r="F184" s="16">
        <f t="shared" si="19"/>
        <v>25000</v>
      </c>
      <c r="G184" s="15"/>
      <c r="H184" s="15"/>
      <c r="I184" s="15"/>
      <c r="J184" s="15"/>
      <c r="K184" s="6"/>
    </row>
    <row r="185" spans="1:11" ht="14.25" x14ac:dyDescent="0.2">
      <c r="A185" s="18" t="s">
        <v>193</v>
      </c>
      <c r="B185" s="65" t="s">
        <v>16</v>
      </c>
      <c r="C185" s="41" t="s">
        <v>176</v>
      </c>
      <c r="D185" s="52">
        <v>201000</v>
      </c>
      <c r="E185" s="52">
        <f t="shared" si="18"/>
        <v>201000</v>
      </c>
      <c r="F185" s="16">
        <f t="shared" si="19"/>
        <v>201000</v>
      </c>
      <c r="G185" s="15">
        <v>0</v>
      </c>
      <c r="H185" s="15">
        <v>0</v>
      </c>
      <c r="I185" s="15">
        <v>0</v>
      </c>
      <c r="J185" s="15">
        <v>0</v>
      </c>
      <c r="K185" s="6"/>
    </row>
    <row r="186" spans="1:11" ht="14.25" x14ac:dyDescent="0.2">
      <c r="A186" s="18" t="s">
        <v>194</v>
      </c>
      <c r="B186" s="65" t="s">
        <v>16</v>
      </c>
      <c r="C186" s="41" t="s">
        <v>176</v>
      </c>
      <c r="D186" s="52">
        <v>1000</v>
      </c>
      <c r="E186" s="52">
        <f t="shared" si="18"/>
        <v>1000</v>
      </c>
      <c r="F186" s="16">
        <f t="shared" si="19"/>
        <v>5001000</v>
      </c>
      <c r="G186" s="15">
        <v>5000000</v>
      </c>
      <c r="H186" s="15">
        <v>0</v>
      </c>
      <c r="I186" s="15">
        <v>0</v>
      </c>
      <c r="J186" s="15">
        <v>0</v>
      </c>
      <c r="K186" s="6"/>
    </row>
    <row r="187" spans="1:11" ht="25.5" x14ac:dyDescent="0.2">
      <c r="A187" s="18" t="s">
        <v>195</v>
      </c>
      <c r="B187" s="65" t="s">
        <v>16</v>
      </c>
      <c r="C187" s="41" t="s">
        <v>176</v>
      </c>
      <c r="D187" s="52">
        <v>1000</v>
      </c>
      <c r="E187" s="52">
        <f t="shared" si="18"/>
        <v>1000</v>
      </c>
      <c r="F187" s="16">
        <f t="shared" si="19"/>
        <v>25000</v>
      </c>
      <c r="G187" s="15">
        <v>24000</v>
      </c>
      <c r="H187" s="15">
        <v>0</v>
      </c>
      <c r="I187" s="15">
        <v>0</v>
      </c>
      <c r="J187" s="15">
        <v>0</v>
      </c>
      <c r="K187" s="6"/>
    </row>
    <row r="188" spans="1:11" ht="25.5" x14ac:dyDescent="0.2">
      <c r="A188" s="18" t="s">
        <v>196</v>
      </c>
      <c r="B188" s="65" t="s">
        <v>16</v>
      </c>
      <c r="C188" s="41" t="s">
        <v>176</v>
      </c>
      <c r="D188" s="52">
        <v>1000</v>
      </c>
      <c r="E188" s="52">
        <f t="shared" si="18"/>
        <v>1000</v>
      </c>
      <c r="F188" s="16">
        <f t="shared" si="19"/>
        <v>126000</v>
      </c>
      <c r="G188" s="15">
        <v>125000</v>
      </c>
      <c r="H188" s="15">
        <v>0</v>
      </c>
      <c r="I188" s="15">
        <v>0</v>
      </c>
      <c r="J188" s="15">
        <v>0</v>
      </c>
      <c r="K188" s="6"/>
    </row>
    <row r="189" spans="1:11" ht="25.5" x14ac:dyDescent="0.2">
      <c r="A189" s="18" t="s">
        <v>197</v>
      </c>
      <c r="B189" s="65" t="s">
        <v>16</v>
      </c>
      <c r="C189" s="41" t="s">
        <v>176</v>
      </c>
      <c r="D189" s="52">
        <v>330000</v>
      </c>
      <c r="E189" s="52">
        <f t="shared" si="18"/>
        <v>330000</v>
      </c>
      <c r="F189" s="16">
        <f t="shared" si="19"/>
        <v>330000</v>
      </c>
      <c r="G189" s="15">
        <v>0</v>
      </c>
      <c r="H189" s="15">
        <v>0</v>
      </c>
      <c r="I189" s="15">
        <v>0</v>
      </c>
      <c r="J189" s="15">
        <v>0</v>
      </c>
      <c r="K189" s="6"/>
    </row>
    <row r="190" spans="1:11" ht="25.5" x14ac:dyDescent="0.2">
      <c r="A190" s="53" t="s">
        <v>198</v>
      </c>
      <c r="B190" s="65" t="s">
        <v>16</v>
      </c>
      <c r="C190" s="41" t="s">
        <v>176</v>
      </c>
      <c r="D190" s="52">
        <v>113000</v>
      </c>
      <c r="E190" s="52">
        <v>113000</v>
      </c>
      <c r="F190" s="16">
        <f t="shared" si="19"/>
        <v>113000</v>
      </c>
      <c r="G190" s="15">
        <v>0</v>
      </c>
      <c r="H190" s="15">
        <v>0</v>
      </c>
      <c r="I190" s="15">
        <v>0</v>
      </c>
      <c r="J190" s="15">
        <v>0</v>
      </c>
      <c r="K190" s="6"/>
    </row>
    <row r="191" spans="1:11" ht="38.25" x14ac:dyDescent="0.2">
      <c r="A191" s="53" t="s">
        <v>199</v>
      </c>
      <c r="B191" s="65" t="s">
        <v>16</v>
      </c>
      <c r="C191" s="41" t="s">
        <v>176</v>
      </c>
      <c r="D191" s="52">
        <v>1000</v>
      </c>
      <c r="E191" s="52">
        <f t="shared" si="18"/>
        <v>1000</v>
      </c>
      <c r="F191" s="16">
        <f t="shared" si="19"/>
        <v>325000</v>
      </c>
      <c r="G191" s="15">
        <v>324000</v>
      </c>
      <c r="H191" s="15">
        <v>0</v>
      </c>
      <c r="I191" s="15">
        <v>0</v>
      </c>
      <c r="J191" s="15">
        <v>0</v>
      </c>
      <c r="K191" s="6"/>
    </row>
    <row r="192" spans="1:11" ht="25.5" x14ac:dyDescent="0.2">
      <c r="A192" s="53" t="s">
        <v>200</v>
      </c>
      <c r="B192" s="65" t="s">
        <v>201</v>
      </c>
      <c r="C192" s="41" t="s">
        <v>176</v>
      </c>
      <c r="D192" s="52">
        <v>1000</v>
      </c>
      <c r="E192" s="52">
        <f>D192</f>
        <v>1000</v>
      </c>
      <c r="F192" s="16">
        <f>D192+G192+H192+I192+J192</f>
        <v>322300</v>
      </c>
      <c r="G192" s="15">
        <v>321300</v>
      </c>
      <c r="H192" s="15">
        <v>0</v>
      </c>
      <c r="I192" s="15">
        <v>0</v>
      </c>
      <c r="J192" s="15">
        <v>0</v>
      </c>
      <c r="K192" s="6"/>
    </row>
    <row r="193" spans="1:14" ht="18" customHeight="1" x14ac:dyDescent="0.2">
      <c r="A193" s="53" t="s">
        <v>202</v>
      </c>
      <c r="B193" s="65" t="s">
        <v>201</v>
      </c>
      <c r="C193" s="41" t="s">
        <v>176</v>
      </c>
      <c r="D193" s="52">
        <f>325000-324000</f>
        <v>1000</v>
      </c>
      <c r="E193" s="52">
        <f>D193</f>
        <v>1000</v>
      </c>
      <c r="F193" s="16">
        <f>D193+G193+H193+I193+J193</f>
        <v>325000</v>
      </c>
      <c r="G193" s="15">
        <v>324000</v>
      </c>
      <c r="H193" s="15">
        <v>0</v>
      </c>
      <c r="I193" s="15">
        <v>0</v>
      </c>
      <c r="J193" s="15">
        <v>0</v>
      </c>
      <c r="K193" s="6"/>
    </row>
    <row r="194" spans="1:14" ht="20.25" customHeight="1" x14ac:dyDescent="0.2">
      <c r="A194" s="53" t="s">
        <v>203</v>
      </c>
      <c r="B194" s="65" t="s">
        <v>16</v>
      </c>
      <c r="C194" s="41" t="s">
        <v>176</v>
      </c>
      <c r="D194" s="52">
        <v>1000</v>
      </c>
      <c r="E194" s="52">
        <f t="shared" si="18"/>
        <v>1000</v>
      </c>
      <c r="F194" s="16">
        <f t="shared" si="19"/>
        <v>50000</v>
      </c>
      <c r="G194" s="15">
        <v>49000</v>
      </c>
      <c r="H194" s="15">
        <v>0</v>
      </c>
      <c r="I194" s="15">
        <v>0</v>
      </c>
      <c r="J194" s="15">
        <v>0</v>
      </c>
      <c r="K194" s="6"/>
    </row>
    <row r="195" spans="1:14" ht="18.75" customHeight="1" x14ac:dyDescent="0.2">
      <c r="A195" s="53" t="s">
        <v>204</v>
      </c>
      <c r="B195" s="65" t="s">
        <v>16</v>
      </c>
      <c r="C195" s="41" t="s">
        <v>176</v>
      </c>
      <c r="D195" s="52">
        <v>1000</v>
      </c>
      <c r="E195" s="52">
        <f t="shared" si="18"/>
        <v>1000</v>
      </c>
      <c r="F195" s="16">
        <f t="shared" si="19"/>
        <v>50000</v>
      </c>
      <c r="G195" s="15">
        <v>49000</v>
      </c>
      <c r="H195" s="15">
        <v>0</v>
      </c>
      <c r="I195" s="15">
        <v>0</v>
      </c>
      <c r="J195" s="15">
        <v>0</v>
      </c>
      <c r="K195" s="6"/>
    </row>
    <row r="196" spans="1:14" ht="42" customHeight="1" x14ac:dyDescent="0.2">
      <c r="A196" s="19" t="s">
        <v>205</v>
      </c>
      <c r="B196" s="65" t="s">
        <v>16</v>
      </c>
      <c r="C196" s="41" t="s">
        <v>176</v>
      </c>
      <c r="D196" s="52">
        <v>171000</v>
      </c>
      <c r="E196" s="52">
        <f>D196</f>
        <v>171000</v>
      </c>
      <c r="F196" s="16">
        <f>D196+G196+H196+I196+J196</f>
        <v>171000</v>
      </c>
      <c r="G196" s="15">
        <v>0</v>
      </c>
      <c r="H196" s="15">
        <v>0</v>
      </c>
      <c r="I196" s="15">
        <v>0</v>
      </c>
      <c r="J196" s="15">
        <v>0</v>
      </c>
      <c r="K196" s="6"/>
    </row>
    <row r="197" spans="1:14" ht="14.25" x14ac:dyDescent="0.2">
      <c r="A197" s="46" t="s">
        <v>206</v>
      </c>
      <c r="B197" s="65" t="s">
        <v>16</v>
      </c>
      <c r="C197" s="41" t="s">
        <v>176</v>
      </c>
      <c r="D197" s="52">
        <v>1000</v>
      </c>
      <c r="E197" s="52">
        <f t="shared" ref="E197:E204" si="20">D197</f>
        <v>1000</v>
      </c>
      <c r="F197" s="16">
        <f t="shared" ref="F197:F204" si="21">D197+G197+H197+I197+J197</f>
        <v>321300</v>
      </c>
      <c r="G197" s="67">
        <v>320300</v>
      </c>
      <c r="H197" s="15">
        <v>0</v>
      </c>
      <c r="I197" s="15">
        <v>0</v>
      </c>
      <c r="J197" s="15">
        <v>0</v>
      </c>
      <c r="K197" s="6"/>
    </row>
    <row r="198" spans="1:14" ht="29.25" customHeight="1" x14ac:dyDescent="0.2">
      <c r="A198" s="53" t="s">
        <v>207</v>
      </c>
      <c r="B198" s="22" t="s">
        <v>16</v>
      </c>
      <c r="C198" s="23" t="s">
        <v>176</v>
      </c>
      <c r="D198" s="52">
        <v>269000</v>
      </c>
      <c r="E198" s="52">
        <f t="shared" si="20"/>
        <v>269000</v>
      </c>
      <c r="F198" s="16">
        <f t="shared" si="21"/>
        <v>269000</v>
      </c>
      <c r="G198" s="15">
        <v>0</v>
      </c>
      <c r="H198" s="15">
        <v>0</v>
      </c>
      <c r="I198" s="15">
        <v>0</v>
      </c>
      <c r="J198" s="15">
        <v>0</v>
      </c>
      <c r="K198" s="6"/>
    </row>
    <row r="199" spans="1:14" ht="25.5" x14ac:dyDescent="0.2">
      <c r="A199" s="53" t="s">
        <v>208</v>
      </c>
      <c r="B199" s="22" t="s">
        <v>16</v>
      </c>
      <c r="C199" s="23" t="s">
        <v>176</v>
      </c>
      <c r="D199" s="52">
        <v>1000</v>
      </c>
      <c r="E199" s="52">
        <f t="shared" si="20"/>
        <v>1000</v>
      </c>
      <c r="F199" s="16">
        <f t="shared" si="21"/>
        <v>4074000</v>
      </c>
      <c r="G199" s="15">
        <v>4073000</v>
      </c>
      <c r="H199" s="15">
        <v>0</v>
      </c>
      <c r="I199" s="15">
        <v>0</v>
      </c>
      <c r="J199" s="15">
        <v>0</v>
      </c>
      <c r="K199" s="6"/>
    </row>
    <row r="200" spans="1:14" ht="204" x14ac:dyDescent="0.2">
      <c r="A200" s="53" t="s">
        <v>209</v>
      </c>
      <c r="B200" s="22" t="s">
        <v>16</v>
      </c>
      <c r="C200" s="23" t="s">
        <v>176</v>
      </c>
      <c r="D200" s="52">
        <v>1000</v>
      </c>
      <c r="E200" s="52">
        <f t="shared" si="20"/>
        <v>1000</v>
      </c>
      <c r="F200" s="16">
        <f t="shared" si="21"/>
        <v>101000</v>
      </c>
      <c r="G200" s="15">
        <v>100000</v>
      </c>
      <c r="H200" s="15">
        <v>0</v>
      </c>
      <c r="I200" s="15">
        <v>0</v>
      </c>
      <c r="J200" s="15">
        <v>0</v>
      </c>
      <c r="K200" s="6" t="s">
        <v>182</v>
      </c>
    </row>
    <row r="201" spans="1:14" ht="25.5" x14ac:dyDescent="0.2">
      <c r="A201" s="53" t="s">
        <v>210</v>
      </c>
      <c r="B201" s="22" t="s">
        <v>16</v>
      </c>
      <c r="C201" s="23" t="s">
        <v>176</v>
      </c>
      <c r="D201" s="52">
        <v>0</v>
      </c>
      <c r="E201" s="52">
        <v>0</v>
      </c>
      <c r="F201" s="16">
        <f t="shared" si="21"/>
        <v>140000</v>
      </c>
      <c r="G201" s="15">
        <v>140000</v>
      </c>
      <c r="H201" s="15">
        <v>0</v>
      </c>
      <c r="I201" s="15">
        <v>0</v>
      </c>
      <c r="J201" s="15">
        <v>0</v>
      </c>
      <c r="K201" s="6"/>
    </row>
    <row r="202" spans="1:14" ht="26.25" customHeight="1" x14ac:dyDescent="0.2">
      <c r="A202" s="53" t="s">
        <v>211</v>
      </c>
      <c r="B202" s="22" t="s">
        <v>16</v>
      </c>
      <c r="C202" s="23" t="s">
        <v>176</v>
      </c>
      <c r="D202" s="52">
        <v>1000</v>
      </c>
      <c r="E202" s="52">
        <f t="shared" si="20"/>
        <v>1000</v>
      </c>
      <c r="F202" s="16">
        <f t="shared" si="21"/>
        <v>261000</v>
      </c>
      <c r="G202" s="15">
        <v>260000</v>
      </c>
      <c r="H202" s="15">
        <v>0</v>
      </c>
      <c r="I202" s="15">
        <v>0</v>
      </c>
      <c r="J202" s="15">
        <v>0</v>
      </c>
      <c r="K202" s="6" t="s">
        <v>182</v>
      </c>
    </row>
    <row r="203" spans="1:14" ht="26.25" customHeight="1" x14ac:dyDescent="0.2">
      <c r="A203" s="53" t="s">
        <v>212</v>
      </c>
      <c r="B203" s="22" t="s">
        <v>16</v>
      </c>
      <c r="C203" s="23" t="s">
        <v>176</v>
      </c>
      <c r="D203" s="52">
        <v>1000</v>
      </c>
      <c r="E203" s="52">
        <f t="shared" si="20"/>
        <v>1000</v>
      </c>
      <c r="F203" s="16">
        <f t="shared" si="21"/>
        <v>80000</v>
      </c>
      <c r="G203" s="15">
        <v>79000</v>
      </c>
      <c r="H203" s="15">
        <v>0</v>
      </c>
      <c r="I203" s="15">
        <v>0</v>
      </c>
      <c r="J203" s="15">
        <v>0</v>
      </c>
      <c r="K203" s="6"/>
    </row>
    <row r="204" spans="1:14" ht="19.5" customHeight="1" x14ac:dyDescent="0.2">
      <c r="A204" s="53" t="s">
        <v>213</v>
      </c>
      <c r="B204" s="22" t="s">
        <v>16</v>
      </c>
      <c r="C204" s="23" t="s">
        <v>176</v>
      </c>
      <c r="D204" s="52">
        <v>1000</v>
      </c>
      <c r="E204" s="52">
        <f t="shared" si="20"/>
        <v>1000</v>
      </c>
      <c r="F204" s="16">
        <f t="shared" si="21"/>
        <v>58400</v>
      </c>
      <c r="G204" s="15">
        <v>57400</v>
      </c>
      <c r="H204" s="15">
        <v>0</v>
      </c>
      <c r="I204" s="15">
        <v>0</v>
      </c>
      <c r="J204" s="15">
        <v>0</v>
      </c>
      <c r="K204" s="6"/>
    </row>
    <row r="205" spans="1:14" s="70" customFormat="1" ht="35.25" customHeight="1" x14ac:dyDescent="0.2">
      <c r="A205" s="205" t="s">
        <v>214</v>
      </c>
      <c r="B205" s="205"/>
      <c r="C205" s="205"/>
      <c r="D205" s="68">
        <f t="shared" ref="D205:J205" si="22">SUM(D169:D204)</f>
        <v>31952650</v>
      </c>
      <c r="E205" s="68">
        <f t="shared" si="22"/>
        <v>31952650</v>
      </c>
      <c r="F205" s="68">
        <f t="shared" si="22"/>
        <v>62043150</v>
      </c>
      <c r="G205" s="68">
        <f t="shared" si="22"/>
        <v>30042500</v>
      </c>
      <c r="H205" s="68">
        <f t="shared" si="22"/>
        <v>16000</v>
      </c>
      <c r="I205" s="68">
        <f t="shared" si="22"/>
        <v>16000</v>
      </c>
      <c r="J205" s="68">
        <f t="shared" si="22"/>
        <v>16000</v>
      </c>
      <c r="K205" s="69"/>
    </row>
    <row r="206" spans="1:14" s="70" customFormat="1" ht="30" customHeight="1" x14ac:dyDescent="0.2">
      <c r="A206" s="197" t="s">
        <v>215</v>
      </c>
      <c r="B206" s="197"/>
      <c r="C206" s="197"/>
      <c r="D206" s="71">
        <f t="shared" ref="D206:J206" si="23">D13+D17+D25+D55+D58+D87+D91+D167+D205</f>
        <v>88726142</v>
      </c>
      <c r="E206" s="71">
        <f t="shared" si="23"/>
        <v>88726142</v>
      </c>
      <c r="F206" s="71">
        <f t="shared" si="23"/>
        <v>441584637</v>
      </c>
      <c r="G206" s="71">
        <f t="shared" si="23"/>
        <v>274281245</v>
      </c>
      <c r="H206" s="71">
        <f t="shared" si="23"/>
        <v>78545250</v>
      </c>
      <c r="I206" s="71">
        <f t="shared" si="23"/>
        <v>16000</v>
      </c>
      <c r="J206" s="71">
        <f t="shared" si="23"/>
        <v>16000</v>
      </c>
      <c r="K206" s="69"/>
    </row>
    <row r="207" spans="1:14" ht="18.75" hidden="1" customHeight="1" x14ac:dyDescent="0.25">
      <c r="A207" s="207" t="s">
        <v>216</v>
      </c>
      <c r="B207" s="207"/>
      <c r="C207" s="207"/>
      <c r="D207" s="73">
        <v>0</v>
      </c>
      <c r="E207" s="73"/>
      <c r="F207" s="73"/>
      <c r="G207" s="72"/>
      <c r="H207" s="72"/>
      <c r="I207" s="72"/>
      <c r="J207" s="72"/>
      <c r="K207" s="6"/>
    </row>
    <row r="208" spans="1:14" ht="15" hidden="1" customHeight="1" x14ac:dyDescent="0.25">
      <c r="A208" s="207" t="s">
        <v>216</v>
      </c>
      <c r="B208" s="207"/>
      <c r="C208" s="207"/>
      <c r="D208" s="73">
        <v>0</v>
      </c>
      <c r="E208" s="73"/>
      <c r="F208" s="73"/>
      <c r="G208" s="72"/>
      <c r="H208" s="72"/>
      <c r="I208" s="72"/>
      <c r="J208" s="72"/>
      <c r="K208" s="6"/>
      <c r="N208" s="74">
        <v>60105700</v>
      </c>
    </row>
    <row r="209" spans="1:17" s="70" customFormat="1" ht="40.5" customHeight="1" x14ac:dyDescent="0.2">
      <c r="A209" s="208" t="s">
        <v>217</v>
      </c>
      <c r="B209" s="208"/>
      <c r="C209" s="208"/>
      <c r="D209" s="75">
        <f>D212+D217+D227+D246+D251+D256+D273</f>
        <v>7257000</v>
      </c>
      <c r="E209" s="75">
        <f>E212+E217+E227+E246+E251+E256+E273</f>
        <v>7257000</v>
      </c>
      <c r="F209" s="75">
        <f>F212+F217+F227+F246+F251+F256+F273</f>
        <v>302346285</v>
      </c>
      <c r="G209" s="75">
        <v>60105700</v>
      </c>
      <c r="H209" s="76">
        <f>H212+H217+H227+H246+H251+H256+H273</f>
        <v>152018855</v>
      </c>
      <c r="I209" s="75">
        <f>I212+I217+I227+I246+I251+I256+I273</f>
        <v>14429811</v>
      </c>
      <c r="J209" s="75">
        <f>J212+J217+J227+J246+J251+J256+J273</f>
        <v>15400072</v>
      </c>
      <c r="K209" s="77">
        <f t="shared" ref="K209:Q209" si="24">D212+D217+D227+D246+D251+D256+D273</f>
        <v>7257000</v>
      </c>
      <c r="L209" s="77">
        <f t="shared" si="24"/>
        <v>7257000</v>
      </c>
      <c r="M209" s="77">
        <f t="shared" si="24"/>
        <v>302346285</v>
      </c>
      <c r="N209" s="77">
        <f t="shared" si="24"/>
        <v>113240547</v>
      </c>
      <c r="O209" s="77">
        <f t="shared" si="24"/>
        <v>152018855</v>
      </c>
      <c r="P209" s="77">
        <f t="shared" si="24"/>
        <v>14429811</v>
      </c>
      <c r="Q209" s="77">
        <f t="shared" si="24"/>
        <v>15400072</v>
      </c>
    </row>
    <row r="210" spans="1:17" ht="14.25" customHeight="1" x14ac:dyDescent="0.2">
      <c r="A210" s="206" t="s">
        <v>218</v>
      </c>
      <c r="B210" s="206"/>
      <c r="C210" s="206"/>
      <c r="D210" s="206"/>
      <c r="E210" s="206"/>
      <c r="F210" s="206"/>
      <c r="G210" s="206"/>
      <c r="H210" s="206"/>
      <c r="I210" s="206"/>
      <c r="J210" s="206"/>
      <c r="K210" s="6"/>
    </row>
    <row r="211" spans="1:17" ht="24" customHeight="1" x14ac:dyDescent="0.25">
      <c r="A211" s="19"/>
      <c r="B211" s="78" t="s">
        <v>16</v>
      </c>
      <c r="C211" s="78" t="s">
        <v>219</v>
      </c>
      <c r="D211" s="79">
        <v>0</v>
      </c>
      <c r="E211" s="79">
        <f>D211</f>
        <v>0</v>
      </c>
      <c r="F211" s="79">
        <f>E211+G211+H211+I211+J211</f>
        <v>0</v>
      </c>
      <c r="G211" s="79">
        <v>0</v>
      </c>
      <c r="H211" s="79">
        <v>0</v>
      </c>
      <c r="I211" s="79">
        <v>0</v>
      </c>
      <c r="J211" s="79">
        <v>0</v>
      </c>
      <c r="K211" s="6"/>
    </row>
    <row r="212" spans="1:17" ht="30.75" hidden="1" customHeight="1" x14ac:dyDescent="0.2">
      <c r="A212" s="80" t="s">
        <v>220</v>
      </c>
      <c r="B212" s="81"/>
      <c r="C212" s="81"/>
      <c r="D212" s="82">
        <f t="shared" ref="D212:J212" si="25">SUM(D211:D211)</f>
        <v>0</v>
      </c>
      <c r="E212" s="82">
        <f t="shared" si="25"/>
        <v>0</v>
      </c>
      <c r="F212" s="82">
        <f t="shared" si="25"/>
        <v>0</v>
      </c>
      <c r="G212" s="82">
        <f t="shared" si="25"/>
        <v>0</v>
      </c>
      <c r="H212" s="82">
        <f t="shared" si="25"/>
        <v>0</v>
      </c>
      <c r="I212" s="82">
        <f t="shared" si="25"/>
        <v>0</v>
      </c>
      <c r="J212" s="82">
        <f t="shared" si="25"/>
        <v>0</v>
      </c>
      <c r="K212" s="6"/>
    </row>
    <row r="213" spans="1:17" ht="29.25" hidden="1" customHeight="1" x14ac:dyDescent="0.2">
      <c r="A213" s="83" t="s">
        <v>221</v>
      </c>
      <c r="B213" s="84"/>
      <c r="C213" s="84"/>
      <c r="D213" s="85">
        <v>0</v>
      </c>
      <c r="E213" s="85">
        <v>0</v>
      </c>
      <c r="F213" s="85">
        <v>0</v>
      </c>
      <c r="G213" s="84"/>
      <c r="H213" s="84"/>
      <c r="I213" s="84"/>
      <c r="J213" s="84"/>
      <c r="K213" s="6"/>
    </row>
    <row r="214" spans="1:17" ht="15.75" hidden="1" x14ac:dyDescent="0.25">
      <c r="A214" s="209" t="s">
        <v>222</v>
      </c>
      <c r="B214" s="209"/>
      <c r="C214" s="209"/>
      <c r="D214" s="86">
        <f>D213+D212</f>
        <v>0</v>
      </c>
      <c r="E214" s="86">
        <f>E213+E212</f>
        <v>0</v>
      </c>
      <c r="F214" s="86">
        <f>F213+F212</f>
        <v>0</v>
      </c>
      <c r="G214" s="86">
        <f>G213+G212</f>
        <v>0</v>
      </c>
      <c r="H214" s="86">
        <v>0</v>
      </c>
      <c r="I214" s="86">
        <v>0</v>
      </c>
      <c r="J214" s="86">
        <v>0</v>
      </c>
      <c r="K214" s="6"/>
    </row>
    <row r="215" spans="1:17" ht="20.100000000000001" customHeight="1" x14ac:dyDescent="0.2">
      <c r="A215" s="206" t="s">
        <v>223</v>
      </c>
      <c r="B215" s="206"/>
      <c r="C215" s="206"/>
      <c r="D215" s="206"/>
      <c r="E215" s="206"/>
      <c r="F215" s="206"/>
      <c r="G215" s="206"/>
      <c r="H215" s="206"/>
      <c r="I215" s="206"/>
      <c r="J215" s="206"/>
      <c r="K215" s="6"/>
    </row>
    <row r="216" spans="1:17" ht="13.5" x14ac:dyDescent="0.25">
      <c r="A216" s="19"/>
      <c r="B216" s="78"/>
      <c r="C216" s="78"/>
      <c r="D216" s="79"/>
      <c r="E216" s="79"/>
      <c r="F216" s="79"/>
      <c r="G216" s="79">
        <v>0</v>
      </c>
      <c r="H216" s="79">
        <v>0</v>
      </c>
      <c r="I216" s="79">
        <v>0</v>
      </c>
      <c r="J216" s="79">
        <v>0</v>
      </c>
      <c r="K216" s="6"/>
    </row>
    <row r="217" spans="1:17" ht="27" hidden="1" customHeight="1" x14ac:dyDescent="0.2">
      <c r="A217" s="80" t="s">
        <v>224</v>
      </c>
      <c r="B217" s="81"/>
      <c r="C217" s="81"/>
      <c r="D217" s="82">
        <f t="shared" ref="D217:J217" si="26">SUM(D216:D216)</f>
        <v>0</v>
      </c>
      <c r="E217" s="82">
        <f t="shared" si="26"/>
        <v>0</v>
      </c>
      <c r="F217" s="82">
        <f t="shared" si="26"/>
        <v>0</v>
      </c>
      <c r="G217" s="82">
        <f t="shared" si="26"/>
        <v>0</v>
      </c>
      <c r="H217" s="82">
        <f t="shared" si="26"/>
        <v>0</v>
      </c>
      <c r="I217" s="82">
        <f t="shared" si="26"/>
        <v>0</v>
      </c>
      <c r="J217" s="82">
        <f t="shared" si="26"/>
        <v>0</v>
      </c>
      <c r="K217" s="6"/>
    </row>
    <row r="218" spans="1:17" ht="27" hidden="1" customHeight="1" x14ac:dyDescent="0.2">
      <c r="A218" s="83" t="s">
        <v>225</v>
      </c>
      <c r="B218" s="84"/>
      <c r="C218" s="84"/>
      <c r="D218" s="85">
        <v>0</v>
      </c>
      <c r="E218" s="85">
        <v>0</v>
      </c>
      <c r="F218" s="85">
        <v>0</v>
      </c>
      <c r="G218" s="85"/>
      <c r="H218" s="85"/>
      <c r="I218" s="85"/>
      <c r="J218" s="85"/>
      <c r="K218" s="6"/>
    </row>
    <row r="219" spans="1:17" ht="20.100000000000001" hidden="1" customHeight="1" x14ac:dyDescent="0.25">
      <c r="A219" s="209" t="s">
        <v>226</v>
      </c>
      <c r="B219" s="209"/>
      <c r="C219" s="209"/>
      <c r="D219" s="86">
        <f>D218+D217</f>
        <v>0</v>
      </c>
      <c r="E219" s="86">
        <f t="shared" ref="E219:J219" si="27">E218+E217</f>
        <v>0</v>
      </c>
      <c r="F219" s="86">
        <f t="shared" si="27"/>
        <v>0</v>
      </c>
      <c r="G219" s="86">
        <f t="shared" si="27"/>
        <v>0</v>
      </c>
      <c r="H219" s="86">
        <f t="shared" si="27"/>
        <v>0</v>
      </c>
      <c r="I219" s="86">
        <f t="shared" si="27"/>
        <v>0</v>
      </c>
      <c r="J219" s="86">
        <f t="shared" si="27"/>
        <v>0</v>
      </c>
      <c r="K219" s="6"/>
    </row>
    <row r="220" spans="1:17" ht="25.5" customHeight="1" x14ac:dyDescent="0.2">
      <c r="A220" s="206" t="s">
        <v>227</v>
      </c>
      <c r="B220" s="206"/>
      <c r="C220" s="206"/>
      <c r="D220" s="206"/>
      <c r="E220" s="206"/>
      <c r="F220" s="206"/>
      <c r="G220" s="206"/>
      <c r="H220" s="206"/>
      <c r="I220" s="206"/>
      <c r="J220" s="206"/>
      <c r="K220" s="6"/>
    </row>
    <row r="221" spans="1:17" ht="38.25" x14ac:dyDescent="0.2">
      <c r="A221" s="53" t="s">
        <v>228</v>
      </c>
      <c r="B221" s="41" t="s">
        <v>16</v>
      </c>
      <c r="C221" s="41" t="s">
        <v>229</v>
      </c>
      <c r="D221" s="79">
        <v>66000</v>
      </c>
      <c r="E221" s="79">
        <f t="shared" ref="E221:E226" si="28">D221</f>
        <v>66000</v>
      </c>
      <c r="F221" s="87">
        <f t="shared" ref="F221:F226" si="29">D221+G221+H221+I221+J221</f>
        <v>66000</v>
      </c>
      <c r="G221" s="88">
        <v>0</v>
      </c>
      <c r="H221" s="88">
        <v>0</v>
      </c>
      <c r="I221" s="88">
        <v>0</v>
      </c>
      <c r="J221" s="88">
        <v>0</v>
      </c>
      <c r="K221" s="6"/>
    </row>
    <row r="222" spans="1:17" ht="24.75" customHeight="1" x14ac:dyDescent="0.2">
      <c r="A222" s="53" t="s">
        <v>230</v>
      </c>
      <c r="B222" s="41" t="s">
        <v>16</v>
      </c>
      <c r="C222" s="41" t="s">
        <v>229</v>
      </c>
      <c r="D222" s="79">
        <v>0</v>
      </c>
      <c r="E222" s="79">
        <f t="shared" si="28"/>
        <v>0</v>
      </c>
      <c r="F222" s="87">
        <f t="shared" si="29"/>
        <v>36773120</v>
      </c>
      <c r="G222" s="89">
        <v>1000</v>
      </c>
      <c r="H222" s="79">
        <v>7394155</v>
      </c>
      <c r="I222" s="79">
        <v>14217059</v>
      </c>
      <c r="J222" s="79">
        <v>15160906</v>
      </c>
      <c r="K222" s="6"/>
    </row>
    <row r="223" spans="1:17" ht="25.5" x14ac:dyDescent="0.2">
      <c r="A223" s="53" t="s">
        <v>231</v>
      </c>
      <c r="B223" s="41" t="s">
        <v>16</v>
      </c>
      <c r="C223" s="41" t="s">
        <v>229</v>
      </c>
      <c r="D223" s="79">
        <v>1000</v>
      </c>
      <c r="E223" s="79">
        <f t="shared" si="28"/>
        <v>1000</v>
      </c>
      <c r="F223" s="87">
        <f t="shared" si="29"/>
        <v>285600</v>
      </c>
      <c r="G223" s="79">
        <v>266750</v>
      </c>
      <c r="H223" s="79">
        <v>0</v>
      </c>
      <c r="I223" s="79">
        <v>0</v>
      </c>
      <c r="J223" s="79">
        <v>17850</v>
      </c>
      <c r="K223" s="6"/>
    </row>
    <row r="224" spans="1:17" ht="38.25" x14ac:dyDescent="0.2">
      <c r="A224" s="53" t="s">
        <v>232</v>
      </c>
      <c r="B224" s="41" t="s">
        <v>16</v>
      </c>
      <c r="C224" s="41" t="s">
        <v>229</v>
      </c>
      <c r="D224" s="79">
        <v>0</v>
      </c>
      <c r="E224" s="79">
        <f t="shared" si="28"/>
        <v>0</v>
      </c>
      <c r="F224" s="87">
        <f t="shared" si="29"/>
        <v>47600</v>
      </c>
      <c r="G224" s="79">
        <v>0</v>
      </c>
      <c r="H224" s="79">
        <v>11900</v>
      </c>
      <c r="I224" s="79">
        <v>23800</v>
      </c>
      <c r="J224" s="79">
        <v>11900</v>
      </c>
      <c r="K224" s="6"/>
    </row>
    <row r="225" spans="1:11" ht="22.5" customHeight="1" x14ac:dyDescent="0.2">
      <c r="A225" s="53" t="s">
        <v>233</v>
      </c>
      <c r="B225" s="41" t="s">
        <v>16</v>
      </c>
      <c r="C225" s="41" t="s">
        <v>229</v>
      </c>
      <c r="D225" s="79">
        <v>0</v>
      </c>
      <c r="E225" s="79">
        <f t="shared" si="28"/>
        <v>0</v>
      </c>
      <c r="F225" s="87">
        <f t="shared" si="29"/>
        <v>212404</v>
      </c>
      <c r="G225" s="79">
        <v>1000</v>
      </c>
      <c r="H225" s="79">
        <v>38226</v>
      </c>
      <c r="I225" s="79">
        <v>76452</v>
      </c>
      <c r="J225" s="79">
        <v>96726</v>
      </c>
      <c r="K225" s="6"/>
    </row>
    <row r="226" spans="1:11" ht="25.5" x14ac:dyDescent="0.2">
      <c r="A226" s="53" t="s">
        <v>234</v>
      </c>
      <c r="B226" s="41" t="s">
        <v>16</v>
      </c>
      <c r="C226" s="41" t="s">
        <v>229</v>
      </c>
      <c r="D226" s="79">
        <v>0</v>
      </c>
      <c r="E226" s="79">
        <f t="shared" si="28"/>
        <v>0</v>
      </c>
      <c r="F226" s="87">
        <f t="shared" si="29"/>
        <v>450190</v>
      </c>
      <c r="G226" s="79">
        <v>112500</v>
      </c>
      <c r="H226" s="79">
        <v>112500</v>
      </c>
      <c r="I226" s="79">
        <v>112500</v>
      </c>
      <c r="J226" s="79">
        <v>112690</v>
      </c>
      <c r="K226" s="6"/>
    </row>
    <row r="227" spans="1:11" ht="28.5" customHeight="1" x14ac:dyDescent="0.2">
      <c r="A227" s="210" t="s">
        <v>235</v>
      </c>
      <c r="B227" s="210"/>
      <c r="C227" s="210"/>
      <c r="D227" s="90">
        <f>SUM(D221:D226)</f>
        <v>67000</v>
      </c>
      <c r="E227" s="90">
        <f t="shared" ref="E227:J227" si="30">SUM(E221:E226)</f>
        <v>67000</v>
      </c>
      <c r="F227" s="90">
        <f t="shared" si="30"/>
        <v>37834914</v>
      </c>
      <c r="G227" s="90">
        <f t="shared" si="30"/>
        <v>381250</v>
      </c>
      <c r="H227" s="90">
        <f t="shared" si="30"/>
        <v>7556781</v>
      </c>
      <c r="I227" s="90">
        <f t="shared" si="30"/>
        <v>14429811</v>
      </c>
      <c r="J227" s="90">
        <f t="shared" si="30"/>
        <v>15400072</v>
      </c>
      <c r="K227" s="6"/>
    </row>
    <row r="228" spans="1:11" ht="27.75" customHeight="1" x14ac:dyDescent="0.2">
      <c r="A228" s="211" t="s">
        <v>236</v>
      </c>
      <c r="B228" s="211"/>
      <c r="C228" s="211"/>
      <c r="D228" s="91">
        <v>1001000</v>
      </c>
      <c r="E228" s="91">
        <f>D228</f>
        <v>1001000</v>
      </c>
      <c r="F228" s="91">
        <f>D228</f>
        <v>1001000</v>
      </c>
      <c r="G228" s="91">
        <v>0</v>
      </c>
      <c r="H228" s="91">
        <v>0</v>
      </c>
      <c r="I228" s="91">
        <v>0</v>
      </c>
      <c r="J228" s="91">
        <v>0</v>
      </c>
      <c r="K228" s="6"/>
    </row>
    <row r="229" spans="1:11" ht="38.25" customHeight="1" x14ac:dyDescent="0.2">
      <c r="A229" s="212" t="s">
        <v>237</v>
      </c>
      <c r="B229" s="212"/>
      <c r="C229" s="212"/>
      <c r="D229" s="92">
        <f>D227+D228</f>
        <v>1068000</v>
      </c>
      <c r="E229" s="92">
        <f t="shared" ref="E229:J229" si="31">E227+E228</f>
        <v>1068000</v>
      </c>
      <c r="F229" s="92">
        <f t="shared" si="31"/>
        <v>38835914</v>
      </c>
      <c r="G229" s="92">
        <f t="shared" si="31"/>
        <v>381250</v>
      </c>
      <c r="H229" s="92">
        <f t="shared" si="31"/>
        <v>7556781</v>
      </c>
      <c r="I229" s="92">
        <f t="shared" si="31"/>
        <v>14429811</v>
      </c>
      <c r="J229" s="92">
        <f t="shared" si="31"/>
        <v>15400072</v>
      </c>
      <c r="K229" s="6"/>
    </row>
    <row r="230" spans="1:11" ht="19.5" customHeight="1" x14ac:dyDescent="0.2">
      <c r="A230" s="206" t="s">
        <v>238</v>
      </c>
      <c r="B230" s="206"/>
      <c r="C230" s="206"/>
      <c r="D230" s="206"/>
      <c r="E230" s="206"/>
      <c r="F230" s="206"/>
      <c r="G230" s="206"/>
      <c r="H230" s="206"/>
      <c r="I230" s="206"/>
      <c r="J230" s="206"/>
      <c r="K230" s="6"/>
    </row>
    <row r="231" spans="1:11" ht="25.5" x14ac:dyDescent="0.2">
      <c r="A231" s="53" t="s">
        <v>239</v>
      </c>
      <c r="B231" s="41" t="s">
        <v>16</v>
      </c>
      <c r="C231" s="41" t="s">
        <v>240</v>
      </c>
      <c r="D231" s="24">
        <v>1441000</v>
      </c>
      <c r="E231" s="24">
        <f t="shared" ref="E231:E245" si="32">D231</f>
        <v>1441000</v>
      </c>
      <c r="F231" s="25">
        <f t="shared" ref="F231:F245" si="33">D231+G231+H231+I231+J231</f>
        <v>1441000</v>
      </c>
      <c r="G231" s="24">
        <v>0</v>
      </c>
      <c r="H231" s="24">
        <v>0</v>
      </c>
      <c r="I231" s="24">
        <v>0</v>
      </c>
      <c r="J231" s="24">
        <v>0</v>
      </c>
      <c r="K231" s="6"/>
    </row>
    <row r="232" spans="1:11" ht="46.5" customHeight="1" x14ac:dyDescent="0.2">
      <c r="A232" s="53" t="s">
        <v>241</v>
      </c>
      <c r="B232" s="41" t="s">
        <v>16</v>
      </c>
      <c r="C232" s="41" t="s">
        <v>240</v>
      </c>
      <c r="D232" s="24">
        <v>13100</v>
      </c>
      <c r="E232" s="24">
        <f t="shared" si="32"/>
        <v>13100</v>
      </c>
      <c r="F232" s="25">
        <f t="shared" si="33"/>
        <v>13100</v>
      </c>
      <c r="G232" s="24">
        <v>0</v>
      </c>
      <c r="H232" s="24">
        <v>0</v>
      </c>
      <c r="I232" s="24">
        <v>0</v>
      </c>
      <c r="J232" s="24">
        <v>0</v>
      </c>
      <c r="K232" s="6"/>
    </row>
    <row r="233" spans="1:11" ht="38.25" x14ac:dyDescent="0.2">
      <c r="A233" s="53" t="s">
        <v>242</v>
      </c>
      <c r="B233" s="41" t="s">
        <v>16</v>
      </c>
      <c r="C233" s="41" t="s">
        <v>240</v>
      </c>
      <c r="D233" s="24">
        <v>14000</v>
      </c>
      <c r="E233" s="24">
        <f t="shared" si="32"/>
        <v>14000</v>
      </c>
      <c r="F233" s="25">
        <f t="shared" si="33"/>
        <v>14000</v>
      </c>
      <c r="G233" s="24">
        <v>0</v>
      </c>
      <c r="H233" s="24">
        <v>0</v>
      </c>
      <c r="I233" s="24">
        <v>0</v>
      </c>
      <c r="J233" s="24">
        <v>0</v>
      </c>
      <c r="K233" s="6"/>
    </row>
    <row r="234" spans="1:11" ht="14.25" x14ac:dyDescent="0.2">
      <c r="A234" s="53" t="s">
        <v>243</v>
      </c>
      <c r="B234" s="41" t="s">
        <v>16</v>
      </c>
      <c r="C234" s="41" t="s">
        <v>240</v>
      </c>
      <c r="D234" s="24">
        <v>1000</v>
      </c>
      <c r="E234" s="24">
        <f t="shared" si="32"/>
        <v>1000</v>
      </c>
      <c r="F234" s="25">
        <f t="shared" si="33"/>
        <v>26200000</v>
      </c>
      <c r="G234" s="24">
        <v>21000000</v>
      </c>
      <c r="H234" s="24">
        <v>5199000</v>
      </c>
      <c r="I234" s="24">
        <v>0</v>
      </c>
      <c r="J234" s="24">
        <v>0</v>
      </c>
      <c r="K234" s="6"/>
    </row>
    <row r="235" spans="1:11" ht="25.5" x14ac:dyDescent="0.2">
      <c r="A235" s="53" t="s">
        <v>244</v>
      </c>
      <c r="B235" s="41" t="s">
        <v>16</v>
      </c>
      <c r="C235" s="41" t="s">
        <v>240</v>
      </c>
      <c r="D235" s="24">
        <v>1000</v>
      </c>
      <c r="E235" s="24">
        <f t="shared" si="32"/>
        <v>1000</v>
      </c>
      <c r="F235" s="25">
        <f t="shared" si="33"/>
        <v>283000</v>
      </c>
      <c r="G235" s="24">
        <v>0</v>
      </c>
      <c r="H235" s="24">
        <v>282000</v>
      </c>
      <c r="I235" s="24">
        <v>0</v>
      </c>
      <c r="J235" s="24">
        <v>0</v>
      </c>
      <c r="K235" s="6"/>
    </row>
    <row r="236" spans="1:11" ht="25.5" x14ac:dyDescent="0.2">
      <c r="A236" s="53" t="s">
        <v>245</v>
      </c>
      <c r="B236" s="41" t="s">
        <v>16</v>
      </c>
      <c r="C236" s="41" t="s">
        <v>240</v>
      </c>
      <c r="D236" s="24">
        <v>0</v>
      </c>
      <c r="E236" s="24">
        <f t="shared" si="32"/>
        <v>0</v>
      </c>
      <c r="F236" s="25">
        <f t="shared" si="33"/>
        <v>23000</v>
      </c>
      <c r="G236" s="24">
        <v>0</v>
      </c>
      <c r="H236" s="24">
        <v>23000</v>
      </c>
      <c r="I236" s="24">
        <v>0</v>
      </c>
      <c r="J236" s="24">
        <v>0</v>
      </c>
      <c r="K236" s="6"/>
    </row>
    <row r="237" spans="1:11" ht="21.75" customHeight="1" x14ac:dyDescent="0.2">
      <c r="A237" s="53" t="s">
        <v>246</v>
      </c>
      <c r="B237" s="41" t="s">
        <v>16</v>
      </c>
      <c r="C237" s="41" t="s">
        <v>240</v>
      </c>
      <c r="D237" s="24">
        <v>3600</v>
      </c>
      <c r="E237" s="24">
        <f t="shared" si="32"/>
        <v>3600</v>
      </c>
      <c r="F237" s="25">
        <f t="shared" si="33"/>
        <v>3600</v>
      </c>
      <c r="G237" s="24">
        <v>0</v>
      </c>
      <c r="H237" s="24">
        <v>0</v>
      </c>
      <c r="I237" s="24">
        <v>0</v>
      </c>
      <c r="J237" s="24">
        <v>0</v>
      </c>
      <c r="K237" s="6"/>
    </row>
    <row r="238" spans="1:11" ht="38.25" x14ac:dyDescent="0.2">
      <c r="A238" s="53" t="s">
        <v>247</v>
      </c>
      <c r="B238" s="41" t="s">
        <v>16</v>
      </c>
      <c r="C238" s="41" t="s">
        <v>240</v>
      </c>
      <c r="D238" s="24">
        <v>3500000</v>
      </c>
      <c r="E238" s="24">
        <f t="shared" si="32"/>
        <v>3500000</v>
      </c>
      <c r="F238" s="25">
        <f t="shared" si="33"/>
        <v>14606000</v>
      </c>
      <c r="G238" s="24">
        <v>7404000</v>
      </c>
      <c r="H238" s="24">
        <v>3702000</v>
      </c>
      <c r="I238" s="24">
        <v>0</v>
      </c>
      <c r="J238" s="24">
        <v>0</v>
      </c>
      <c r="K238" s="6"/>
    </row>
    <row r="239" spans="1:11" ht="38.25" x14ac:dyDescent="0.2">
      <c r="A239" s="53" t="s">
        <v>248</v>
      </c>
      <c r="B239" s="41" t="s">
        <v>16</v>
      </c>
      <c r="C239" s="41" t="s">
        <v>240</v>
      </c>
      <c r="D239" s="24">
        <v>95500</v>
      </c>
      <c r="E239" s="24">
        <f>D239</f>
        <v>95500</v>
      </c>
      <c r="F239" s="25">
        <f>D239+G239+H239+I239+J239</f>
        <v>125500</v>
      </c>
      <c r="G239" s="24">
        <v>15000</v>
      </c>
      <c r="H239" s="24">
        <v>15000</v>
      </c>
      <c r="I239" s="24">
        <v>0</v>
      </c>
      <c r="J239" s="24">
        <v>0</v>
      </c>
      <c r="K239" s="6"/>
    </row>
    <row r="240" spans="1:11" ht="38.25" x14ac:dyDescent="0.2">
      <c r="A240" s="53" t="s">
        <v>249</v>
      </c>
      <c r="B240" s="41" t="s">
        <v>16</v>
      </c>
      <c r="C240" s="41" t="s">
        <v>240</v>
      </c>
      <c r="D240" s="24">
        <v>500000</v>
      </c>
      <c r="E240" s="24">
        <f t="shared" si="32"/>
        <v>500000</v>
      </c>
      <c r="F240" s="25">
        <f>D240+G240+H240+I240+J240</f>
        <v>5430000</v>
      </c>
      <c r="G240" s="24">
        <v>4930000</v>
      </c>
      <c r="H240" s="24">
        <v>0</v>
      </c>
      <c r="I240" s="24">
        <v>0</v>
      </c>
      <c r="J240" s="24">
        <v>0</v>
      </c>
      <c r="K240" s="6"/>
    </row>
    <row r="241" spans="1:13" ht="44.25" customHeight="1" x14ac:dyDescent="0.2">
      <c r="A241" s="53" t="s">
        <v>250</v>
      </c>
      <c r="B241" s="41" t="s">
        <v>16</v>
      </c>
      <c r="C241" s="41" t="s">
        <v>240</v>
      </c>
      <c r="D241" s="24">
        <v>28500</v>
      </c>
      <c r="E241" s="24">
        <f t="shared" si="32"/>
        <v>28500</v>
      </c>
      <c r="F241" s="25">
        <f>D241+G241+H241+I241+J241</f>
        <v>89500</v>
      </c>
      <c r="G241" s="24">
        <v>16500</v>
      </c>
      <c r="H241" s="24">
        <v>44500</v>
      </c>
      <c r="I241" s="24">
        <v>0</v>
      </c>
      <c r="J241" s="24">
        <v>0</v>
      </c>
      <c r="K241" s="6"/>
    </row>
    <row r="242" spans="1:13" ht="51" x14ac:dyDescent="0.2">
      <c r="A242" s="53" t="s">
        <v>251</v>
      </c>
      <c r="B242" s="41" t="s">
        <v>16</v>
      </c>
      <c r="C242" s="41" t="s">
        <v>240</v>
      </c>
      <c r="D242" s="24">
        <v>11500</v>
      </c>
      <c r="E242" s="24">
        <f t="shared" si="32"/>
        <v>11500</v>
      </c>
      <c r="F242" s="25">
        <f>D242+G242+H242+I242+J242</f>
        <v>59500</v>
      </c>
      <c r="G242" s="24">
        <v>15000</v>
      </c>
      <c r="H242" s="24">
        <v>33000</v>
      </c>
      <c r="I242" s="24">
        <v>0</v>
      </c>
      <c r="J242" s="24">
        <v>0</v>
      </c>
      <c r="K242" s="6"/>
    </row>
    <row r="243" spans="1:13" ht="20.25" customHeight="1" x14ac:dyDescent="0.2">
      <c r="A243" s="53" t="s">
        <v>252</v>
      </c>
      <c r="B243" s="41" t="s">
        <v>16</v>
      </c>
      <c r="C243" s="41" t="s">
        <v>240</v>
      </c>
      <c r="D243" s="24">
        <f>50000+20000</f>
        <v>70000</v>
      </c>
      <c r="E243" s="24">
        <f t="shared" si="32"/>
        <v>70000</v>
      </c>
      <c r="F243" s="25">
        <f>D243+G243+H243+I243+J243</f>
        <v>31100000</v>
      </c>
      <c r="G243" s="24">
        <v>19430000</v>
      </c>
      <c r="H243" s="24">
        <v>11600000</v>
      </c>
      <c r="I243" s="24">
        <v>0</v>
      </c>
      <c r="J243" s="24">
        <v>0</v>
      </c>
      <c r="K243" s="6"/>
    </row>
    <row r="244" spans="1:13" ht="26.25" customHeight="1" x14ac:dyDescent="0.2">
      <c r="A244" s="53" t="s">
        <v>253</v>
      </c>
      <c r="B244" s="41" t="s">
        <v>16</v>
      </c>
      <c r="C244" s="41" t="s">
        <v>240</v>
      </c>
      <c r="D244" s="24">
        <v>2000</v>
      </c>
      <c r="E244" s="24">
        <f t="shared" si="32"/>
        <v>2000</v>
      </c>
      <c r="F244" s="25">
        <f t="shared" si="33"/>
        <v>317000</v>
      </c>
      <c r="G244" s="24">
        <v>220000</v>
      </c>
      <c r="H244" s="24">
        <v>95000</v>
      </c>
      <c r="I244" s="24">
        <v>0</v>
      </c>
      <c r="J244" s="24">
        <v>0</v>
      </c>
      <c r="K244" s="6"/>
    </row>
    <row r="245" spans="1:13" ht="26.25" customHeight="1" x14ac:dyDescent="0.2">
      <c r="A245" s="53" t="s">
        <v>254</v>
      </c>
      <c r="B245" s="41" t="s">
        <v>16</v>
      </c>
      <c r="C245" s="41" t="s">
        <v>240</v>
      </c>
      <c r="D245" s="24">
        <v>0</v>
      </c>
      <c r="E245" s="24">
        <f t="shared" si="32"/>
        <v>0</v>
      </c>
      <c r="F245" s="25">
        <f t="shared" si="33"/>
        <v>12000</v>
      </c>
      <c r="G245" s="24">
        <v>8000</v>
      </c>
      <c r="H245" s="24">
        <v>4000</v>
      </c>
      <c r="I245" s="24">
        <v>0</v>
      </c>
      <c r="J245" s="24">
        <v>0</v>
      </c>
      <c r="K245" s="6"/>
    </row>
    <row r="246" spans="1:13" ht="31.5" customHeight="1" x14ac:dyDescent="0.2">
      <c r="A246" s="210" t="s">
        <v>255</v>
      </c>
      <c r="B246" s="210"/>
      <c r="C246" s="210"/>
      <c r="D246" s="90">
        <f>SUM(D231:D245)</f>
        <v>5681200</v>
      </c>
      <c r="E246" s="90">
        <f t="shared" ref="E246:J246" si="34">SUM(E231:E245)</f>
        <v>5681200</v>
      </c>
      <c r="F246" s="90">
        <f t="shared" si="34"/>
        <v>79717200</v>
      </c>
      <c r="G246" s="90">
        <f t="shared" si="34"/>
        <v>53038500</v>
      </c>
      <c r="H246" s="90">
        <f t="shared" si="34"/>
        <v>20997500</v>
      </c>
      <c r="I246" s="90">
        <f t="shared" si="34"/>
        <v>0</v>
      </c>
      <c r="J246" s="90">
        <f t="shared" si="34"/>
        <v>0</v>
      </c>
      <c r="K246" s="6"/>
      <c r="M246" s="74"/>
    </row>
    <row r="247" spans="1:13" ht="36" customHeight="1" x14ac:dyDescent="0.2">
      <c r="A247" s="211" t="s">
        <v>256</v>
      </c>
      <c r="B247" s="211"/>
      <c r="C247" s="211"/>
      <c r="D247" s="91">
        <v>333200</v>
      </c>
      <c r="E247" s="91">
        <f>D247</f>
        <v>333200</v>
      </c>
      <c r="F247" s="91">
        <f>D247</f>
        <v>333200</v>
      </c>
      <c r="G247" s="91">
        <v>130000</v>
      </c>
      <c r="H247" s="91">
        <v>714000</v>
      </c>
      <c r="I247" s="91"/>
      <c r="J247" s="91"/>
      <c r="K247" s="6"/>
    </row>
    <row r="248" spans="1:13" ht="20.100000000000001" customHeight="1" x14ac:dyDescent="0.2">
      <c r="A248" s="212" t="s">
        <v>257</v>
      </c>
      <c r="B248" s="212"/>
      <c r="C248" s="212"/>
      <c r="D248" s="92">
        <f>D246+D247</f>
        <v>6014400</v>
      </c>
      <c r="E248" s="92">
        <f t="shared" ref="E248:J248" si="35">E246+E247</f>
        <v>6014400</v>
      </c>
      <c r="F248" s="92">
        <f t="shared" si="35"/>
        <v>80050400</v>
      </c>
      <c r="G248" s="92">
        <f t="shared" si="35"/>
        <v>53168500</v>
      </c>
      <c r="H248" s="92">
        <f t="shared" si="35"/>
        <v>21711500</v>
      </c>
      <c r="I248" s="92">
        <f t="shared" si="35"/>
        <v>0</v>
      </c>
      <c r="J248" s="92">
        <f t="shared" si="35"/>
        <v>0</v>
      </c>
      <c r="K248" s="6"/>
    </row>
    <row r="249" spans="1:13" ht="20.100000000000001" customHeight="1" x14ac:dyDescent="0.2">
      <c r="A249" s="206" t="s">
        <v>258</v>
      </c>
      <c r="B249" s="206"/>
      <c r="C249" s="206"/>
      <c r="D249" s="206"/>
      <c r="E249" s="206"/>
      <c r="F249" s="206"/>
      <c r="G249" s="206"/>
      <c r="H249" s="206"/>
      <c r="I249" s="206"/>
      <c r="J249" s="206"/>
      <c r="K249" s="6"/>
    </row>
    <row r="250" spans="1:13" ht="20.100000000000001" customHeight="1" x14ac:dyDescent="0.2">
      <c r="A250" s="18"/>
      <c r="B250" s="41"/>
      <c r="C250" s="41"/>
      <c r="D250" s="93">
        <v>0</v>
      </c>
      <c r="E250" s="93">
        <v>0</v>
      </c>
      <c r="F250" s="94">
        <f>E250</f>
        <v>0</v>
      </c>
      <c r="G250" s="93">
        <v>0</v>
      </c>
      <c r="H250" s="93"/>
      <c r="I250" s="93"/>
      <c r="J250" s="93"/>
      <c r="K250" s="6"/>
    </row>
    <row r="251" spans="1:13" ht="20.100000000000001" hidden="1" customHeight="1" x14ac:dyDescent="0.2">
      <c r="A251" s="210" t="s">
        <v>259</v>
      </c>
      <c r="B251" s="210"/>
      <c r="C251" s="210"/>
      <c r="D251" s="90">
        <f t="shared" ref="D251:J251" si="36">SUM(D250:D250)</f>
        <v>0</v>
      </c>
      <c r="E251" s="90">
        <f t="shared" si="36"/>
        <v>0</v>
      </c>
      <c r="F251" s="90">
        <f t="shared" si="36"/>
        <v>0</v>
      </c>
      <c r="G251" s="90">
        <f t="shared" si="36"/>
        <v>0</v>
      </c>
      <c r="H251" s="90">
        <f t="shared" si="36"/>
        <v>0</v>
      </c>
      <c r="I251" s="90">
        <f t="shared" si="36"/>
        <v>0</v>
      </c>
      <c r="J251" s="90">
        <f t="shared" si="36"/>
        <v>0</v>
      </c>
      <c r="K251" s="6"/>
    </row>
    <row r="252" spans="1:13" ht="20.100000000000001" hidden="1" customHeight="1" x14ac:dyDescent="0.2">
      <c r="A252" s="211" t="s">
        <v>260</v>
      </c>
      <c r="B252" s="211"/>
      <c r="C252" s="211"/>
      <c r="D252" s="95">
        <v>0</v>
      </c>
      <c r="E252" s="95">
        <v>0</v>
      </c>
      <c r="F252" s="95">
        <v>0</v>
      </c>
      <c r="G252" s="95"/>
      <c r="H252" s="95"/>
      <c r="I252" s="95"/>
      <c r="J252" s="95"/>
      <c r="K252" s="6"/>
    </row>
    <row r="253" spans="1:13" ht="20.100000000000001" hidden="1" customHeight="1" x14ac:dyDescent="0.2">
      <c r="A253" s="212" t="s">
        <v>261</v>
      </c>
      <c r="B253" s="212"/>
      <c r="C253" s="212"/>
      <c r="D253" s="92">
        <f>D252+D251</f>
        <v>0</v>
      </c>
      <c r="E253" s="92">
        <f t="shared" ref="E253:J253" si="37">E252+E251</f>
        <v>0</v>
      </c>
      <c r="F253" s="92">
        <f t="shared" si="37"/>
        <v>0</v>
      </c>
      <c r="G253" s="92">
        <f t="shared" si="37"/>
        <v>0</v>
      </c>
      <c r="H253" s="92">
        <f t="shared" si="37"/>
        <v>0</v>
      </c>
      <c r="I253" s="92">
        <f t="shared" si="37"/>
        <v>0</v>
      </c>
      <c r="J253" s="92">
        <f t="shared" si="37"/>
        <v>0</v>
      </c>
      <c r="K253" s="6"/>
    </row>
    <row r="254" spans="1:13" ht="20.100000000000001" customHeight="1" x14ac:dyDescent="0.2">
      <c r="A254" s="206" t="s">
        <v>262</v>
      </c>
      <c r="B254" s="206"/>
      <c r="C254" s="206"/>
      <c r="D254" s="206"/>
      <c r="E254" s="206"/>
      <c r="F254" s="206"/>
      <c r="G254" s="206"/>
      <c r="H254" s="206"/>
      <c r="I254" s="206"/>
      <c r="J254" s="206"/>
      <c r="K254" s="6"/>
    </row>
    <row r="255" spans="1:13" ht="25.5" x14ac:dyDescent="0.2">
      <c r="A255" s="53" t="s">
        <v>263</v>
      </c>
      <c r="B255" s="41" t="s">
        <v>16</v>
      </c>
      <c r="C255" s="41" t="s">
        <v>264</v>
      </c>
      <c r="D255" s="24">
        <v>106700</v>
      </c>
      <c r="E255" s="24">
        <f>D255</f>
        <v>106700</v>
      </c>
      <c r="F255" s="25">
        <f>D255+G255+H255+I255+J255</f>
        <v>106700</v>
      </c>
      <c r="G255" s="24">
        <v>0</v>
      </c>
      <c r="H255" s="24">
        <v>0</v>
      </c>
      <c r="I255" s="24">
        <v>0</v>
      </c>
      <c r="J255" s="24">
        <v>0</v>
      </c>
      <c r="K255" s="6"/>
    </row>
    <row r="256" spans="1:13" ht="20.100000000000001" customHeight="1" x14ac:dyDescent="0.2">
      <c r="A256" s="210" t="s">
        <v>265</v>
      </c>
      <c r="B256" s="210"/>
      <c r="C256" s="210"/>
      <c r="D256" s="90">
        <f t="shared" ref="D256:J256" si="38">SUM(D255:D255)</f>
        <v>106700</v>
      </c>
      <c r="E256" s="90">
        <f t="shared" si="38"/>
        <v>106700</v>
      </c>
      <c r="F256" s="90">
        <f t="shared" si="38"/>
        <v>106700</v>
      </c>
      <c r="G256" s="90">
        <f t="shared" si="38"/>
        <v>0</v>
      </c>
      <c r="H256" s="90">
        <f t="shared" si="38"/>
        <v>0</v>
      </c>
      <c r="I256" s="90">
        <f t="shared" si="38"/>
        <v>0</v>
      </c>
      <c r="J256" s="90">
        <f t="shared" si="38"/>
        <v>0</v>
      </c>
      <c r="K256" s="6"/>
    </row>
    <row r="257" spans="1:11" ht="33" customHeight="1" x14ac:dyDescent="0.2">
      <c r="A257" s="211" t="s">
        <v>266</v>
      </c>
      <c r="B257" s="211"/>
      <c r="C257" s="211"/>
      <c r="D257" s="91">
        <v>550000</v>
      </c>
      <c r="E257" s="91">
        <f>D257</f>
        <v>550000</v>
      </c>
      <c r="F257" s="91">
        <f>D257</f>
        <v>550000</v>
      </c>
      <c r="G257" s="91"/>
      <c r="H257" s="91"/>
      <c r="I257" s="91"/>
      <c r="J257" s="91"/>
      <c r="K257" s="6"/>
    </row>
    <row r="258" spans="1:11" ht="20.100000000000001" customHeight="1" x14ac:dyDescent="0.2">
      <c r="A258" s="212" t="s">
        <v>267</v>
      </c>
      <c r="B258" s="212"/>
      <c r="C258" s="212"/>
      <c r="D258" s="92">
        <f>D256+D257</f>
        <v>656700</v>
      </c>
      <c r="E258" s="92">
        <f t="shared" ref="E258:J258" si="39">E256+E257</f>
        <v>656700</v>
      </c>
      <c r="F258" s="92">
        <f t="shared" si="39"/>
        <v>656700</v>
      </c>
      <c r="G258" s="92">
        <f t="shared" si="39"/>
        <v>0</v>
      </c>
      <c r="H258" s="92">
        <f t="shared" si="39"/>
        <v>0</v>
      </c>
      <c r="I258" s="92">
        <f t="shared" si="39"/>
        <v>0</v>
      </c>
      <c r="J258" s="92">
        <f t="shared" si="39"/>
        <v>0</v>
      </c>
      <c r="K258" s="6"/>
    </row>
    <row r="259" spans="1:11" ht="20.100000000000001" customHeight="1" x14ac:dyDescent="0.2">
      <c r="A259" s="213" t="s">
        <v>268</v>
      </c>
      <c r="B259" s="213"/>
      <c r="C259" s="213"/>
      <c r="D259" s="213"/>
      <c r="E259" s="213"/>
      <c r="F259" s="213"/>
      <c r="G259" s="213"/>
      <c r="H259" s="213"/>
      <c r="I259" s="213"/>
      <c r="J259" s="213"/>
      <c r="K259" s="6"/>
    </row>
    <row r="260" spans="1:11" ht="20.100000000000001" hidden="1" customHeight="1" x14ac:dyDescent="0.2">
      <c r="A260" s="96"/>
      <c r="B260" s="96"/>
      <c r="C260" s="96"/>
      <c r="D260" s="96"/>
      <c r="E260" s="96"/>
      <c r="F260" s="96"/>
      <c r="G260" s="96"/>
      <c r="H260" s="96"/>
      <c r="I260" s="96"/>
      <c r="J260" s="96"/>
      <c r="K260" s="6"/>
    </row>
    <row r="261" spans="1:11" ht="18.75" customHeight="1" x14ac:dyDescent="0.2">
      <c r="A261" s="18" t="s">
        <v>269</v>
      </c>
      <c r="B261" s="22"/>
      <c r="C261" s="23"/>
      <c r="D261" s="15">
        <v>0</v>
      </c>
      <c r="E261" s="52">
        <f>D261</f>
        <v>0</v>
      </c>
      <c r="F261" s="16">
        <f>D261</f>
        <v>0</v>
      </c>
      <c r="G261" s="15">
        <v>0</v>
      </c>
      <c r="H261" s="15">
        <v>0</v>
      </c>
      <c r="I261" s="15">
        <v>0</v>
      </c>
      <c r="J261" s="15">
        <v>0</v>
      </c>
      <c r="K261" s="6"/>
    </row>
    <row r="262" spans="1:11" ht="32.25" customHeight="1" x14ac:dyDescent="0.2">
      <c r="A262" s="201" t="s">
        <v>270</v>
      </c>
      <c r="B262" s="201"/>
      <c r="C262" s="201"/>
      <c r="D262" s="60">
        <f t="shared" ref="D262:J262" si="40">SUM(D261)</f>
        <v>0</v>
      </c>
      <c r="E262" s="60">
        <f t="shared" si="40"/>
        <v>0</v>
      </c>
      <c r="F262" s="60">
        <f t="shared" si="40"/>
        <v>0</v>
      </c>
      <c r="G262" s="60">
        <f t="shared" si="40"/>
        <v>0</v>
      </c>
      <c r="H262" s="60">
        <f t="shared" si="40"/>
        <v>0</v>
      </c>
      <c r="I262" s="60">
        <f t="shared" si="40"/>
        <v>0</v>
      </c>
      <c r="J262" s="60">
        <f t="shared" si="40"/>
        <v>0</v>
      </c>
      <c r="K262" s="6"/>
    </row>
    <row r="263" spans="1:11" ht="20.100000000000001" customHeight="1" x14ac:dyDescent="0.2">
      <c r="A263" s="206" t="s">
        <v>271</v>
      </c>
      <c r="B263" s="206"/>
      <c r="C263" s="206"/>
      <c r="D263" s="206"/>
      <c r="E263" s="206"/>
      <c r="F263" s="206"/>
      <c r="G263" s="206"/>
      <c r="H263" s="206"/>
      <c r="I263" s="206"/>
      <c r="J263" s="206"/>
      <c r="K263" s="6"/>
    </row>
    <row r="264" spans="1:11" ht="20.100000000000001" customHeight="1" x14ac:dyDescent="0.2">
      <c r="A264" s="97" t="s">
        <v>272</v>
      </c>
      <c r="B264" s="41">
        <v>2</v>
      </c>
      <c r="C264" s="98" t="s">
        <v>273</v>
      </c>
      <c r="D264" s="24">
        <v>0</v>
      </c>
      <c r="E264" s="24">
        <v>0</v>
      </c>
      <c r="F264" s="25">
        <f t="shared" ref="F264:F272" si="41">E264+G264+H264</f>
        <v>71240000</v>
      </c>
      <c r="G264" s="99">
        <v>25000000</v>
      </c>
      <c r="H264" s="99">
        <v>46240000</v>
      </c>
      <c r="I264" s="24">
        <v>0</v>
      </c>
      <c r="J264" s="24">
        <v>0</v>
      </c>
      <c r="K264" s="6"/>
    </row>
    <row r="265" spans="1:11" ht="14.25" x14ac:dyDescent="0.2">
      <c r="A265" s="97" t="s">
        <v>274</v>
      </c>
      <c r="B265" s="41" t="s">
        <v>16</v>
      </c>
      <c r="C265" s="41" t="s">
        <v>273</v>
      </c>
      <c r="D265" s="24">
        <v>1400100</v>
      </c>
      <c r="E265" s="24">
        <f t="shared" ref="E265:E272" si="42">D265</f>
        <v>1400100</v>
      </c>
      <c r="F265" s="25">
        <f t="shared" si="41"/>
        <v>1400100</v>
      </c>
      <c r="G265" s="99"/>
      <c r="H265" s="99">
        <v>0</v>
      </c>
      <c r="I265" s="24">
        <v>0</v>
      </c>
      <c r="J265" s="24">
        <v>0</v>
      </c>
      <c r="K265" s="6"/>
    </row>
    <row r="266" spans="1:11" ht="16.5" customHeight="1" x14ac:dyDescent="0.2">
      <c r="A266" s="97" t="s">
        <v>275</v>
      </c>
      <c r="B266" s="41">
        <v>2</v>
      </c>
      <c r="C266" s="41" t="s">
        <v>273</v>
      </c>
      <c r="D266" s="24">
        <v>0</v>
      </c>
      <c r="E266" s="24">
        <f t="shared" si="42"/>
        <v>0</v>
      </c>
      <c r="F266" s="25">
        <f t="shared" si="41"/>
        <v>459500</v>
      </c>
      <c r="G266" s="99">
        <v>459500</v>
      </c>
      <c r="H266" s="99">
        <v>0</v>
      </c>
      <c r="I266" s="24">
        <v>0</v>
      </c>
      <c r="J266" s="24">
        <v>0</v>
      </c>
      <c r="K266" s="6"/>
    </row>
    <row r="267" spans="1:11" ht="25.5" x14ac:dyDescent="0.2">
      <c r="A267" s="97" t="s">
        <v>276</v>
      </c>
      <c r="B267" s="41">
        <v>2</v>
      </c>
      <c r="C267" s="41" t="s">
        <v>273</v>
      </c>
      <c r="D267" s="24">
        <v>0</v>
      </c>
      <c r="E267" s="24">
        <f t="shared" si="42"/>
        <v>0</v>
      </c>
      <c r="F267" s="25">
        <f t="shared" si="41"/>
        <v>20000</v>
      </c>
      <c r="G267" s="99">
        <v>20000</v>
      </c>
      <c r="H267" s="99">
        <v>0</v>
      </c>
      <c r="I267" s="24">
        <v>0</v>
      </c>
      <c r="J267" s="24">
        <v>0</v>
      </c>
      <c r="K267" s="6"/>
    </row>
    <row r="268" spans="1:11" ht="25.5" x14ac:dyDescent="0.2">
      <c r="A268" s="100" t="s">
        <v>277</v>
      </c>
      <c r="B268" s="101">
        <v>2</v>
      </c>
      <c r="C268" s="101" t="s">
        <v>273</v>
      </c>
      <c r="D268" s="102">
        <v>0</v>
      </c>
      <c r="E268" s="102">
        <v>0</v>
      </c>
      <c r="F268" s="103">
        <f t="shared" si="41"/>
        <v>50000</v>
      </c>
      <c r="G268" s="104">
        <v>50000</v>
      </c>
      <c r="H268" s="104">
        <v>0</v>
      </c>
      <c r="I268" s="102">
        <v>0</v>
      </c>
      <c r="J268" s="102">
        <v>0</v>
      </c>
      <c r="K268" s="6"/>
    </row>
    <row r="269" spans="1:11" ht="25.5" x14ac:dyDescent="0.2">
      <c r="A269" s="97" t="s">
        <v>278</v>
      </c>
      <c r="B269" s="41">
        <v>2</v>
      </c>
      <c r="C269" s="41" t="s">
        <v>273</v>
      </c>
      <c r="D269" s="24">
        <v>1000</v>
      </c>
      <c r="E269" s="24">
        <f t="shared" si="42"/>
        <v>1000</v>
      </c>
      <c r="F269" s="25">
        <f t="shared" si="41"/>
        <v>1196093</v>
      </c>
      <c r="G269" s="99">
        <v>1195093</v>
      </c>
      <c r="H269" s="99">
        <v>0</v>
      </c>
      <c r="I269" s="24">
        <v>0</v>
      </c>
      <c r="J269" s="24">
        <v>0</v>
      </c>
      <c r="K269" s="6"/>
    </row>
    <row r="270" spans="1:11" ht="25.5" x14ac:dyDescent="0.2">
      <c r="A270" s="97" t="s">
        <v>279</v>
      </c>
      <c r="B270" s="41">
        <v>2</v>
      </c>
      <c r="C270" s="41" t="s">
        <v>273</v>
      </c>
      <c r="D270" s="24">
        <v>1000</v>
      </c>
      <c r="E270" s="24">
        <f t="shared" si="42"/>
        <v>1000</v>
      </c>
      <c r="F270" s="25">
        <f t="shared" si="41"/>
        <v>109524630</v>
      </c>
      <c r="G270" s="99">
        <v>32857089</v>
      </c>
      <c r="H270" s="99">
        <v>76666541</v>
      </c>
      <c r="I270" s="24">
        <v>0</v>
      </c>
      <c r="J270" s="24">
        <v>0</v>
      </c>
      <c r="K270" s="6"/>
    </row>
    <row r="271" spans="1:11" ht="38.25" x14ac:dyDescent="0.2">
      <c r="A271" s="97" t="s">
        <v>280</v>
      </c>
      <c r="B271" s="41">
        <v>2</v>
      </c>
      <c r="C271" s="41" t="s">
        <v>273</v>
      </c>
      <c r="D271" s="24">
        <v>0</v>
      </c>
      <c r="E271" s="24">
        <f t="shared" si="42"/>
        <v>0</v>
      </c>
      <c r="F271" s="25">
        <f t="shared" si="41"/>
        <v>92928</v>
      </c>
      <c r="G271" s="99">
        <v>27879</v>
      </c>
      <c r="H271" s="99">
        <v>65049</v>
      </c>
      <c r="I271" s="24">
        <v>0</v>
      </c>
      <c r="J271" s="24">
        <v>0</v>
      </c>
      <c r="K271" s="6"/>
    </row>
    <row r="272" spans="1:11" ht="38.25" x14ac:dyDescent="0.2">
      <c r="A272" s="97" t="s">
        <v>281</v>
      </c>
      <c r="B272" s="41">
        <v>2</v>
      </c>
      <c r="C272" s="41" t="s">
        <v>273</v>
      </c>
      <c r="D272" s="24">
        <v>0</v>
      </c>
      <c r="E272" s="24">
        <f t="shared" si="42"/>
        <v>0</v>
      </c>
      <c r="F272" s="25">
        <f t="shared" si="41"/>
        <v>704220</v>
      </c>
      <c r="G272" s="99">
        <f>185100+26136</f>
        <v>211236</v>
      </c>
      <c r="H272" s="99">
        <f>432000+60984</f>
        <v>492984</v>
      </c>
      <c r="I272" s="24">
        <v>0</v>
      </c>
      <c r="J272" s="24">
        <v>0</v>
      </c>
      <c r="K272" s="6"/>
    </row>
    <row r="273" spans="1:15" ht="20.100000000000001" customHeight="1" x14ac:dyDescent="0.2">
      <c r="A273" s="210" t="s">
        <v>282</v>
      </c>
      <c r="B273" s="210"/>
      <c r="C273" s="210"/>
      <c r="D273" s="105">
        <f>SUM(D263:D272)</f>
        <v>1402100</v>
      </c>
      <c r="E273" s="105">
        <f t="shared" ref="E273:J273" si="43">SUM(E263:E272)</f>
        <v>1402100</v>
      </c>
      <c r="F273" s="105">
        <f t="shared" si="43"/>
        <v>184687471</v>
      </c>
      <c r="G273" s="105">
        <f t="shared" si="43"/>
        <v>59820797</v>
      </c>
      <c r="H273" s="105">
        <f t="shared" si="43"/>
        <v>123464574</v>
      </c>
      <c r="I273" s="105">
        <f t="shared" si="43"/>
        <v>0</v>
      </c>
      <c r="J273" s="105">
        <f t="shared" si="43"/>
        <v>0</v>
      </c>
      <c r="K273" s="6"/>
      <c r="M273" s="106" t="s">
        <v>283</v>
      </c>
    </row>
    <row r="274" spans="1:15" ht="32.25" customHeight="1" x14ac:dyDescent="0.2">
      <c r="A274" s="216" t="s">
        <v>284</v>
      </c>
      <c r="B274" s="216"/>
      <c r="C274" s="216"/>
      <c r="D274" s="107">
        <v>6210</v>
      </c>
      <c r="E274" s="107">
        <f>D274</f>
        <v>6210</v>
      </c>
      <c r="F274" s="107">
        <f>D274</f>
        <v>6210</v>
      </c>
      <c r="G274" s="107">
        <v>25000</v>
      </c>
      <c r="H274" s="107">
        <v>6000</v>
      </c>
      <c r="I274" s="107">
        <v>0</v>
      </c>
      <c r="J274" s="107">
        <v>0</v>
      </c>
      <c r="K274" s="6"/>
      <c r="M274" s="108">
        <f>D213+D218+D228+D247+D261+D274+D257</f>
        <v>1890410</v>
      </c>
    </row>
    <row r="275" spans="1:15" ht="20.100000000000001" customHeight="1" x14ac:dyDescent="0.2">
      <c r="A275" s="212" t="s">
        <v>285</v>
      </c>
      <c r="B275" s="212"/>
      <c r="C275" s="212"/>
      <c r="D275" s="109">
        <f>D273+D274</f>
        <v>1408310</v>
      </c>
      <c r="E275" s="109">
        <f t="shared" ref="E275:J275" si="44">E273+E274</f>
        <v>1408310</v>
      </c>
      <c r="F275" s="110">
        <f>D275+G275+H275+I275+J275</f>
        <v>184724681</v>
      </c>
      <c r="G275" s="109">
        <f t="shared" si="44"/>
        <v>59845797</v>
      </c>
      <c r="H275" s="109">
        <f t="shared" si="44"/>
        <v>123470574</v>
      </c>
      <c r="I275" s="109">
        <f t="shared" si="44"/>
        <v>0</v>
      </c>
      <c r="J275" s="109">
        <f t="shared" si="44"/>
        <v>0</v>
      </c>
      <c r="K275" s="6"/>
    </row>
    <row r="276" spans="1:15" ht="39" customHeight="1" x14ac:dyDescent="0.2">
      <c r="A276" s="208" t="s">
        <v>286</v>
      </c>
      <c r="B276" s="208"/>
      <c r="C276" s="208"/>
      <c r="D276" s="111">
        <f t="shared" ref="D276:J276" si="45">D279+D297+D311+D368+D373</f>
        <v>184414665</v>
      </c>
      <c r="E276" s="111">
        <f t="shared" si="45"/>
        <v>184414665</v>
      </c>
      <c r="F276" s="111">
        <f t="shared" si="45"/>
        <v>256425240</v>
      </c>
      <c r="G276" s="111">
        <f t="shared" si="45"/>
        <v>71950575</v>
      </c>
      <c r="H276" s="111">
        <f t="shared" si="45"/>
        <v>60000</v>
      </c>
      <c r="I276" s="111">
        <f t="shared" si="45"/>
        <v>0</v>
      </c>
      <c r="J276" s="111">
        <f t="shared" si="45"/>
        <v>0</v>
      </c>
      <c r="K276" s="6"/>
    </row>
    <row r="277" spans="1:15" ht="14.25" hidden="1" x14ac:dyDescent="0.2">
      <c r="A277" s="217" t="s">
        <v>223</v>
      </c>
      <c r="B277" s="217"/>
      <c r="C277" s="217"/>
      <c r="D277" s="217"/>
      <c r="E277" s="217"/>
      <c r="F277" s="217"/>
      <c r="G277" s="217"/>
      <c r="H277" s="217"/>
      <c r="I277" s="217"/>
      <c r="J277" s="217"/>
      <c r="K277" s="6"/>
    </row>
    <row r="278" spans="1:15" ht="14.25" hidden="1" x14ac:dyDescent="0.2">
      <c r="A278" s="89"/>
      <c r="B278" s="112"/>
      <c r="C278" s="112"/>
      <c r="D278" s="113"/>
      <c r="E278" s="113"/>
      <c r="F278" s="113"/>
      <c r="G278" s="113"/>
      <c r="H278" s="113"/>
      <c r="I278" s="113"/>
      <c r="J278" s="113"/>
    </row>
    <row r="279" spans="1:15" ht="14.25" hidden="1" x14ac:dyDescent="0.2">
      <c r="A279" s="218" t="s">
        <v>287</v>
      </c>
      <c r="B279" s="218"/>
      <c r="C279" s="218"/>
      <c r="D279" s="114">
        <f t="shared" ref="D279:J279" si="46">SUM(D278:D278)</f>
        <v>0</v>
      </c>
      <c r="E279" s="114">
        <f t="shared" si="46"/>
        <v>0</v>
      </c>
      <c r="F279" s="114">
        <f t="shared" si="46"/>
        <v>0</v>
      </c>
      <c r="G279" s="114">
        <f t="shared" si="46"/>
        <v>0</v>
      </c>
      <c r="H279" s="114">
        <f t="shared" si="46"/>
        <v>0</v>
      </c>
      <c r="I279" s="114">
        <f t="shared" si="46"/>
        <v>0</v>
      </c>
      <c r="J279" s="114">
        <f t="shared" si="46"/>
        <v>0</v>
      </c>
    </row>
    <row r="280" spans="1:15" ht="15" hidden="1" x14ac:dyDescent="0.2">
      <c r="A280" s="219" t="s">
        <v>288</v>
      </c>
      <c r="B280" s="219"/>
      <c r="C280" s="219"/>
      <c r="D280" s="115"/>
      <c r="E280" s="115"/>
      <c r="F280" s="115"/>
      <c r="G280" s="115"/>
      <c r="H280" s="115"/>
      <c r="I280" s="115"/>
      <c r="J280" s="115"/>
    </row>
    <row r="281" spans="1:15" ht="14.25" hidden="1" x14ac:dyDescent="0.2">
      <c r="A281" s="220" t="s">
        <v>289</v>
      </c>
      <c r="B281" s="220"/>
      <c r="C281" s="220"/>
      <c r="D281" s="116">
        <f>D280+D279</f>
        <v>0</v>
      </c>
      <c r="E281" s="116">
        <f t="shared" ref="E281:J281" si="47">E280+E279</f>
        <v>0</v>
      </c>
      <c r="F281" s="116">
        <f t="shared" si="47"/>
        <v>0</v>
      </c>
      <c r="G281" s="116">
        <f t="shared" si="47"/>
        <v>0</v>
      </c>
      <c r="H281" s="116">
        <f t="shared" si="47"/>
        <v>0</v>
      </c>
      <c r="I281" s="116">
        <f t="shared" si="47"/>
        <v>0</v>
      </c>
      <c r="J281" s="116">
        <f t="shared" si="47"/>
        <v>0</v>
      </c>
    </row>
    <row r="282" spans="1:15" ht="20.100000000000001" customHeight="1" x14ac:dyDescent="0.2">
      <c r="A282" s="221" t="s">
        <v>290</v>
      </c>
      <c r="B282" s="221"/>
      <c r="C282" s="221"/>
      <c r="D282" s="221"/>
      <c r="E282" s="221"/>
      <c r="F282" s="221"/>
      <c r="G282" s="221"/>
      <c r="H282" s="221"/>
      <c r="I282" s="221"/>
      <c r="J282" s="221"/>
    </row>
    <row r="283" spans="1:15" ht="25.5" x14ac:dyDescent="0.2">
      <c r="A283" s="117" t="s">
        <v>291</v>
      </c>
      <c r="B283" s="118" t="s">
        <v>16</v>
      </c>
      <c r="C283" s="118" t="s">
        <v>292</v>
      </c>
      <c r="D283" s="99">
        <v>4071000</v>
      </c>
      <c r="E283" s="99">
        <f t="shared" ref="E283:E294" si="48">D283</f>
        <v>4071000</v>
      </c>
      <c r="F283" s="119">
        <f t="shared" ref="F283:F294" si="49">D283+G283+H283+I283+J283</f>
        <v>4071000</v>
      </c>
      <c r="G283" s="99">
        <v>0</v>
      </c>
      <c r="H283" s="99">
        <v>0</v>
      </c>
      <c r="I283" s="99">
        <v>0</v>
      </c>
      <c r="J283" s="99">
        <v>0</v>
      </c>
    </row>
    <row r="284" spans="1:15" ht="25.5" x14ac:dyDescent="0.2">
      <c r="A284" s="117" t="s">
        <v>293</v>
      </c>
      <c r="B284" s="118" t="s">
        <v>16</v>
      </c>
      <c r="C284" s="118" t="s">
        <v>292</v>
      </c>
      <c r="D284" s="99">
        <v>3500</v>
      </c>
      <c r="E284" s="99">
        <f t="shared" si="48"/>
        <v>3500</v>
      </c>
      <c r="F284" s="119">
        <f t="shared" si="49"/>
        <v>3500</v>
      </c>
      <c r="G284" s="99">
        <v>0</v>
      </c>
      <c r="H284" s="99">
        <v>0</v>
      </c>
      <c r="I284" s="99">
        <v>0</v>
      </c>
      <c r="J284" s="99">
        <v>0</v>
      </c>
      <c r="K284" s="120"/>
      <c r="L284" s="121" t="s">
        <v>294</v>
      </c>
      <c r="M284" s="122" t="s">
        <v>295</v>
      </c>
      <c r="N284" s="123">
        <v>0</v>
      </c>
      <c r="O284" s="214">
        <f>N284+N285</f>
        <v>42745</v>
      </c>
    </row>
    <row r="285" spans="1:15" ht="38.25" x14ac:dyDescent="0.2">
      <c r="A285" s="117" t="s">
        <v>296</v>
      </c>
      <c r="B285" s="118" t="s">
        <v>16</v>
      </c>
      <c r="C285" s="118" t="s">
        <v>292</v>
      </c>
      <c r="D285" s="99">
        <v>64000</v>
      </c>
      <c r="E285" s="99">
        <f t="shared" si="48"/>
        <v>64000</v>
      </c>
      <c r="F285" s="119">
        <f t="shared" si="49"/>
        <v>64000</v>
      </c>
      <c r="G285" s="99">
        <v>0</v>
      </c>
      <c r="H285" s="99">
        <v>0</v>
      </c>
      <c r="I285" s="99">
        <v>0</v>
      </c>
      <c r="J285" s="99">
        <v>0</v>
      </c>
      <c r="M285" s="124" t="s">
        <v>297</v>
      </c>
      <c r="N285" s="125">
        <f>D298</f>
        <v>42745</v>
      </c>
      <c r="O285" s="215"/>
    </row>
    <row r="286" spans="1:15" ht="38.25" x14ac:dyDescent="0.2">
      <c r="A286" s="117" t="s">
        <v>298</v>
      </c>
      <c r="B286" s="118" t="s">
        <v>16</v>
      </c>
      <c r="C286" s="118" t="s">
        <v>292</v>
      </c>
      <c r="D286" s="99">
        <v>13000</v>
      </c>
      <c r="E286" s="99">
        <f t="shared" si="48"/>
        <v>13000</v>
      </c>
      <c r="F286" s="119">
        <f t="shared" si="49"/>
        <v>13000</v>
      </c>
      <c r="G286" s="99">
        <v>0</v>
      </c>
      <c r="H286" s="99">
        <v>0</v>
      </c>
      <c r="I286" s="99">
        <v>0</v>
      </c>
      <c r="J286" s="99">
        <v>0</v>
      </c>
    </row>
    <row r="287" spans="1:15" ht="20.25" customHeight="1" x14ac:dyDescent="0.2">
      <c r="A287" s="126" t="s">
        <v>299</v>
      </c>
      <c r="B287" s="127" t="s">
        <v>16</v>
      </c>
      <c r="C287" s="128" t="s">
        <v>292</v>
      </c>
      <c r="D287" s="129">
        <v>81000</v>
      </c>
      <c r="E287" s="99">
        <f>D287</f>
        <v>81000</v>
      </c>
      <c r="F287" s="119">
        <f>D287+G287+H287+I287+J287</f>
        <v>81000</v>
      </c>
      <c r="G287" s="129">
        <v>0</v>
      </c>
      <c r="H287" s="129">
        <v>0</v>
      </c>
      <c r="I287" s="129">
        <v>0</v>
      </c>
      <c r="J287" s="129">
        <v>0</v>
      </c>
      <c r="L287" s="120" t="s">
        <v>300</v>
      </c>
    </row>
    <row r="288" spans="1:15" ht="14.25" x14ac:dyDescent="0.2">
      <c r="A288" s="117" t="s">
        <v>301</v>
      </c>
      <c r="B288" s="118" t="str">
        <f>B286</f>
        <v>02</v>
      </c>
      <c r="C288" s="118" t="str">
        <f>C286</f>
        <v>65/61</v>
      </c>
      <c r="D288" s="99">
        <v>257000</v>
      </c>
      <c r="E288" s="99">
        <f t="shared" si="48"/>
        <v>257000</v>
      </c>
      <c r="F288" s="119">
        <f>D288+G288+H288+I288+J288</f>
        <v>283000</v>
      </c>
      <c r="G288" s="99">
        <v>26000</v>
      </c>
      <c r="H288" s="99">
        <v>0</v>
      </c>
      <c r="I288" s="99">
        <v>0</v>
      </c>
      <c r="J288" s="99">
        <v>0</v>
      </c>
      <c r="M288" s="122" t="s">
        <v>295</v>
      </c>
      <c r="N288" s="122">
        <v>50412500</v>
      </c>
      <c r="O288" s="214">
        <f>N288+N289</f>
        <v>55622100</v>
      </c>
    </row>
    <row r="289" spans="1:15" ht="24.95" customHeight="1" x14ac:dyDescent="0.2">
      <c r="A289" s="117" t="s">
        <v>302</v>
      </c>
      <c r="B289" s="118" t="str">
        <f t="shared" ref="B289:C291" si="50">B288</f>
        <v>02</v>
      </c>
      <c r="C289" s="118" t="str">
        <f t="shared" si="50"/>
        <v>65/61</v>
      </c>
      <c r="D289" s="99">
        <f>9000000-2500000</f>
        <v>6500000</v>
      </c>
      <c r="E289" s="99">
        <f t="shared" si="48"/>
        <v>6500000</v>
      </c>
      <c r="F289" s="119">
        <f t="shared" si="49"/>
        <v>13000000</v>
      </c>
      <c r="G289" s="99">
        <f>4000000+2500000</f>
        <v>6500000</v>
      </c>
      <c r="H289" s="99">
        <v>0</v>
      </c>
      <c r="I289" s="99">
        <v>0</v>
      </c>
      <c r="J289" s="99">
        <v>0</v>
      </c>
      <c r="M289" s="124" t="s">
        <v>297</v>
      </c>
      <c r="N289" s="125">
        <v>5209600</v>
      </c>
      <c r="O289" s="215"/>
    </row>
    <row r="290" spans="1:15" ht="25.5" x14ac:dyDescent="0.2">
      <c r="A290" s="117" t="s">
        <v>303</v>
      </c>
      <c r="B290" s="118" t="str">
        <f t="shared" si="50"/>
        <v>02</v>
      </c>
      <c r="C290" s="118" t="str">
        <f t="shared" si="50"/>
        <v>65/61</v>
      </c>
      <c r="D290" s="99">
        <v>100000</v>
      </c>
      <c r="E290" s="99">
        <f t="shared" si="48"/>
        <v>100000</v>
      </c>
      <c r="F290" s="119">
        <f t="shared" si="49"/>
        <v>188000</v>
      </c>
      <c r="G290" s="99">
        <v>88000</v>
      </c>
      <c r="H290" s="99">
        <v>0</v>
      </c>
      <c r="I290" s="99">
        <f>I273</f>
        <v>0</v>
      </c>
      <c r="J290" s="99">
        <f>J273</f>
        <v>0</v>
      </c>
      <c r="N290" s="130">
        <f>SUM(N288:N289)</f>
        <v>55622100</v>
      </c>
      <c r="O290" s="130">
        <f>O288-N290</f>
        <v>0</v>
      </c>
    </row>
    <row r="291" spans="1:15" ht="25.5" x14ac:dyDescent="0.2">
      <c r="A291" s="117" t="s">
        <v>304</v>
      </c>
      <c r="B291" s="118" t="str">
        <f t="shared" si="50"/>
        <v>02</v>
      </c>
      <c r="C291" s="118" t="str">
        <f t="shared" si="50"/>
        <v>65/61</v>
      </c>
      <c r="D291" s="99">
        <v>20000</v>
      </c>
      <c r="E291" s="99">
        <f t="shared" si="48"/>
        <v>20000</v>
      </c>
      <c r="F291" s="119">
        <f t="shared" si="49"/>
        <v>30500</v>
      </c>
      <c r="G291" s="99">
        <v>10500</v>
      </c>
      <c r="H291" s="99">
        <v>0</v>
      </c>
      <c r="I291" s="99">
        <f>I274</f>
        <v>0</v>
      </c>
      <c r="J291" s="99">
        <f>J274</f>
        <v>0</v>
      </c>
    </row>
    <row r="292" spans="1:15" ht="25.5" x14ac:dyDescent="0.2">
      <c r="A292" s="131" t="s">
        <v>305</v>
      </c>
      <c r="B292" s="118" t="s">
        <v>16</v>
      </c>
      <c r="C292" s="118" t="s">
        <v>292</v>
      </c>
      <c r="D292" s="99">
        <v>7406140</v>
      </c>
      <c r="E292" s="99">
        <f t="shared" si="48"/>
        <v>7406140</v>
      </c>
      <c r="F292" s="119">
        <f t="shared" si="49"/>
        <v>12752590</v>
      </c>
      <c r="G292" s="99">
        <v>5346450</v>
      </c>
      <c r="H292" s="99">
        <v>0</v>
      </c>
      <c r="I292" s="99">
        <v>0</v>
      </c>
      <c r="J292" s="99">
        <v>0</v>
      </c>
    </row>
    <row r="293" spans="1:15" ht="25.5" x14ac:dyDescent="0.2">
      <c r="A293" s="131" t="s">
        <v>306</v>
      </c>
      <c r="B293" s="118" t="s">
        <v>16</v>
      </c>
      <c r="C293" s="118" t="s">
        <v>292</v>
      </c>
      <c r="D293" s="99">
        <v>260015</v>
      </c>
      <c r="E293" s="99">
        <f t="shared" si="48"/>
        <v>260015</v>
      </c>
      <c r="F293" s="119">
        <f t="shared" si="49"/>
        <v>272115</v>
      </c>
      <c r="G293" s="99">
        <v>12100</v>
      </c>
      <c r="H293" s="99">
        <v>0</v>
      </c>
      <c r="I293" s="99">
        <v>0</v>
      </c>
      <c r="J293" s="99">
        <v>0</v>
      </c>
    </row>
    <row r="294" spans="1:15" ht="25.5" x14ac:dyDescent="0.2">
      <c r="A294" s="131" t="s">
        <v>307</v>
      </c>
      <c r="B294" s="118" t="s">
        <v>16</v>
      </c>
      <c r="C294" s="118" t="s">
        <v>292</v>
      </c>
      <c r="D294" s="99">
        <v>48900</v>
      </c>
      <c r="E294" s="99">
        <f t="shared" si="48"/>
        <v>48900</v>
      </c>
      <c r="F294" s="119">
        <f t="shared" si="49"/>
        <v>78900</v>
      </c>
      <c r="G294" s="99">
        <v>30000</v>
      </c>
      <c r="H294" s="99">
        <v>0</v>
      </c>
      <c r="I294" s="99">
        <v>0</v>
      </c>
      <c r="J294" s="99">
        <v>0</v>
      </c>
    </row>
    <row r="295" spans="1:15" ht="38.25" x14ac:dyDescent="0.2">
      <c r="A295" s="131" t="s">
        <v>308</v>
      </c>
      <c r="B295" s="118" t="s">
        <v>16</v>
      </c>
      <c r="C295" s="118" t="s">
        <v>292</v>
      </c>
      <c r="D295" s="99">
        <v>25500</v>
      </c>
      <c r="E295" s="99">
        <f>D295</f>
        <v>25500</v>
      </c>
      <c r="F295" s="119">
        <f>D295+G295+H295+I295+J295</f>
        <v>45500</v>
      </c>
      <c r="G295" s="99">
        <v>20000</v>
      </c>
      <c r="H295" s="99">
        <v>0</v>
      </c>
      <c r="I295" s="99">
        <v>0</v>
      </c>
      <c r="J295" s="99">
        <v>0</v>
      </c>
    </row>
    <row r="296" spans="1:15" ht="27.75" customHeight="1" x14ac:dyDescent="0.2">
      <c r="A296" s="131" t="s">
        <v>309</v>
      </c>
      <c r="B296" s="118" t="s">
        <v>16</v>
      </c>
      <c r="C296" s="118" t="s">
        <v>310</v>
      </c>
      <c r="D296" s="99">
        <v>39161100</v>
      </c>
      <c r="E296" s="99">
        <f>D296</f>
        <v>39161100</v>
      </c>
      <c r="F296" s="119">
        <f>D296+G296+H296+I296+J296</f>
        <v>49910100</v>
      </c>
      <c r="G296" s="99">
        <v>10749000</v>
      </c>
      <c r="H296" s="99">
        <v>0</v>
      </c>
      <c r="I296" s="99">
        <v>0</v>
      </c>
      <c r="J296" s="99">
        <v>0</v>
      </c>
    </row>
    <row r="297" spans="1:15" ht="20.100000000000001" customHeight="1" x14ac:dyDescent="0.2">
      <c r="A297" s="218" t="s">
        <v>311</v>
      </c>
      <c r="B297" s="218"/>
      <c r="C297" s="218"/>
      <c r="D297" s="132">
        <f t="shared" ref="D297:J297" si="51">SUM(D283:D296)</f>
        <v>58011155</v>
      </c>
      <c r="E297" s="132">
        <f t="shared" si="51"/>
        <v>58011155</v>
      </c>
      <c r="F297" s="132">
        <f t="shared" si="51"/>
        <v>80793205</v>
      </c>
      <c r="G297" s="132">
        <f t="shared" si="51"/>
        <v>22782050</v>
      </c>
      <c r="H297" s="132">
        <f t="shared" si="51"/>
        <v>0</v>
      </c>
      <c r="I297" s="132">
        <f t="shared" si="51"/>
        <v>0</v>
      </c>
      <c r="J297" s="132">
        <f t="shared" si="51"/>
        <v>0</v>
      </c>
    </row>
    <row r="298" spans="1:15" ht="33.75" customHeight="1" x14ac:dyDescent="0.2">
      <c r="A298" s="219" t="s">
        <v>312</v>
      </c>
      <c r="B298" s="219"/>
      <c r="C298" s="219"/>
      <c r="D298" s="133">
        <v>42745</v>
      </c>
      <c r="E298" s="133">
        <f>D298</f>
        <v>42745</v>
      </c>
      <c r="F298" s="133">
        <f>D298</f>
        <v>42745</v>
      </c>
      <c r="G298" s="133"/>
      <c r="H298" s="133"/>
      <c r="I298" s="133"/>
      <c r="J298" s="133"/>
    </row>
    <row r="299" spans="1:15" ht="20.100000000000001" customHeight="1" x14ac:dyDescent="0.2">
      <c r="A299" s="220" t="s">
        <v>313</v>
      </c>
      <c r="B299" s="220"/>
      <c r="C299" s="220"/>
      <c r="D299" s="134">
        <f>D298+D297</f>
        <v>58053900</v>
      </c>
      <c r="E299" s="134">
        <f t="shared" ref="E299:J299" si="52">E298+E297</f>
        <v>58053900</v>
      </c>
      <c r="F299" s="134">
        <f t="shared" si="52"/>
        <v>80835950</v>
      </c>
      <c r="G299" s="134">
        <f t="shared" si="52"/>
        <v>22782050</v>
      </c>
      <c r="H299" s="134">
        <f t="shared" si="52"/>
        <v>0</v>
      </c>
      <c r="I299" s="134">
        <f t="shared" si="52"/>
        <v>0</v>
      </c>
      <c r="J299" s="134">
        <f t="shared" si="52"/>
        <v>0</v>
      </c>
    </row>
    <row r="300" spans="1:15" ht="20.100000000000001" customHeight="1" x14ac:dyDescent="0.2">
      <c r="A300" s="221" t="s">
        <v>238</v>
      </c>
      <c r="B300" s="221"/>
      <c r="C300" s="221"/>
      <c r="D300" s="221"/>
      <c r="E300" s="221"/>
      <c r="F300" s="221"/>
      <c r="G300" s="221"/>
      <c r="H300" s="221"/>
      <c r="I300" s="221"/>
      <c r="J300" s="221"/>
    </row>
    <row r="301" spans="1:15" ht="38.25" x14ac:dyDescent="0.2">
      <c r="A301" s="117" t="s">
        <v>314</v>
      </c>
      <c r="B301" s="118" t="s">
        <v>16</v>
      </c>
      <c r="C301" s="118" t="s">
        <v>315</v>
      </c>
      <c r="D301" s="99">
        <v>235000</v>
      </c>
      <c r="E301" s="99">
        <f t="shared" ref="E301:E310" si="53">D301</f>
        <v>235000</v>
      </c>
      <c r="F301" s="119">
        <f t="shared" ref="F301:F310" si="54">D301+G301+H301+I301+J301</f>
        <v>235000</v>
      </c>
      <c r="G301" s="99">
        <v>0</v>
      </c>
      <c r="H301" s="99">
        <v>0</v>
      </c>
      <c r="I301" s="99">
        <v>0</v>
      </c>
      <c r="J301" s="99">
        <v>0</v>
      </c>
    </row>
    <row r="302" spans="1:15" ht="38.25" x14ac:dyDescent="0.2">
      <c r="A302" s="117" t="s">
        <v>316</v>
      </c>
      <c r="B302" s="118" t="s">
        <v>16</v>
      </c>
      <c r="C302" s="118" t="s">
        <v>315</v>
      </c>
      <c r="D302" s="99">
        <v>8190000</v>
      </c>
      <c r="E302" s="99">
        <f t="shared" si="53"/>
        <v>8190000</v>
      </c>
      <c r="F302" s="119">
        <f t="shared" si="54"/>
        <v>10690000</v>
      </c>
      <c r="G302" s="99">
        <v>2500000</v>
      </c>
      <c r="H302" s="99">
        <v>0</v>
      </c>
      <c r="I302" s="99">
        <v>0</v>
      </c>
      <c r="J302" s="99">
        <v>0</v>
      </c>
    </row>
    <row r="303" spans="1:15" ht="51" x14ac:dyDescent="0.2">
      <c r="A303" s="117" t="s">
        <v>317</v>
      </c>
      <c r="B303" s="118" t="s">
        <v>16</v>
      </c>
      <c r="C303" s="118" t="s">
        <v>315</v>
      </c>
      <c r="D303" s="99">
        <v>125000</v>
      </c>
      <c r="E303" s="99">
        <f t="shared" si="53"/>
        <v>125000</v>
      </c>
      <c r="F303" s="119">
        <f t="shared" si="54"/>
        <v>125000</v>
      </c>
      <c r="G303" s="99">
        <v>0</v>
      </c>
      <c r="H303" s="99">
        <v>0</v>
      </c>
      <c r="I303" s="99">
        <v>0</v>
      </c>
      <c r="J303" s="99">
        <v>0</v>
      </c>
    </row>
    <row r="304" spans="1:15" ht="51" x14ac:dyDescent="0.2">
      <c r="A304" s="117" t="s">
        <v>318</v>
      </c>
      <c r="B304" s="118" t="s">
        <v>16</v>
      </c>
      <c r="C304" s="118" t="s">
        <v>315</v>
      </c>
      <c r="D304" s="99">
        <v>31000</v>
      </c>
      <c r="E304" s="99">
        <f t="shared" si="53"/>
        <v>31000</v>
      </c>
      <c r="F304" s="119">
        <f t="shared" si="54"/>
        <v>31000</v>
      </c>
      <c r="G304" s="99">
        <v>0</v>
      </c>
      <c r="H304" s="99">
        <v>0</v>
      </c>
      <c r="I304" s="99">
        <v>0</v>
      </c>
      <c r="J304" s="99">
        <v>0</v>
      </c>
    </row>
    <row r="305" spans="1:10" ht="14.25" x14ac:dyDescent="0.2">
      <c r="A305" s="59" t="s">
        <v>319</v>
      </c>
      <c r="B305" s="118" t="s">
        <v>16</v>
      </c>
      <c r="C305" s="118" t="s">
        <v>315</v>
      </c>
      <c r="D305" s="99">
        <v>650000</v>
      </c>
      <c r="E305" s="99">
        <f t="shared" si="53"/>
        <v>650000</v>
      </c>
      <c r="F305" s="119">
        <f t="shared" si="54"/>
        <v>689000</v>
      </c>
      <c r="G305" s="99">
        <v>39000</v>
      </c>
      <c r="H305" s="135">
        <v>0</v>
      </c>
      <c r="I305" s="135">
        <v>0</v>
      </c>
      <c r="J305" s="135">
        <v>0</v>
      </c>
    </row>
    <row r="306" spans="1:10" ht="14.25" x14ac:dyDescent="0.2">
      <c r="A306" s="59" t="s">
        <v>320</v>
      </c>
      <c r="B306" s="118" t="s">
        <v>16</v>
      </c>
      <c r="C306" s="118" t="s">
        <v>315</v>
      </c>
      <c r="D306" s="99">
        <f>25000000-10000000</f>
        <v>15000000</v>
      </c>
      <c r="E306" s="99">
        <f t="shared" si="53"/>
        <v>15000000</v>
      </c>
      <c r="F306" s="119">
        <f t="shared" si="54"/>
        <v>40000000</v>
      </c>
      <c r="G306" s="135">
        <v>25000000</v>
      </c>
      <c r="H306" s="135">
        <v>0</v>
      </c>
      <c r="I306" s="135">
        <v>0</v>
      </c>
      <c r="J306" s="135">
        <v>0</v>
      </c>
    </row>
    <row r="307" spans="1:10" ht="25.5" x14ac:dyDescent="0.2">
      <c r="A307" s="59" t="s">
        <v>321</v>
      </c>
      <c r="B307" s="118" t="s">
        <v>16</v>
      </c>
      <c r="C307" s="118" t="s">
        <v>315</v>
      </c>
      <c r="D307" s="99">
        <v>125000</v>
      </c>
      <c r="E307" s="99">
        <f t="shared" si="53"/>
        <v>125000</v>
      </c>
      <c r="F307" s="119">
        <f t="shared" si="54"/>
        <v>310000</v>
      </c>
      <c r="G307" s="135">
        <v>125000</v>
      </c>
      <c r="H307" s="135">
        <v>60000</v>
      </c>
      <c r="I307" s="135">
        <v>0</v>
      </c>
      <c r="J307" s="135">
        <v>0</v>
      </c>
    </row>
    <row r="308" spans="1:10" ht="25.5" x14ac:dyDescent="0.2">
      <c r="A308" s="59" t="s">
        <v>322</v>
      </c>
      <c r="B308" s="118" t="s">
        <v>16</v>
      </c>
      <c r="C308" s="118" t="s">
        <v>315</v>
      </c>
      <c r="D308" s="99">
        <v>59000</v>
      </c>
      <c r="E308" s="99">
        <f t="shared" si="53"/>
        <v>59000</v>
      </c>
      <c r="F308" s="119">
        <f t="shared" si="54"/>
        <v>116500</v>
      </c>
      <c r="G308" s="135">
        <v>57500</v>
      </c>
      <c r="H308" s="135">
        <v>0</v>
      </c>
      <c r="I308" s="135">
        <v>0</v>
      </c>
      <c r="J308" s="135">
        <v>0</v>
      </c>
    </row>
    <row r="309" spans="1:10" ht="25.5" x14ac:dyDescent="0.2">
      <c r="A309" s="59" t="s">
        <v>323</v>
      </c>
      <c r="B309" s="118" t="s">
        <v>16</v>
      </c>
      <c r="C309" s="118" t="s">
        <v>315</v>
      </c>
      <c r="D309" s="99">
        <v>65000</v>
      </c>
      <c r="E309" s="99">
        <f t="shared" si="53"/>
        <v>65000</v>
      </c>
      <c r="F309" s="119">
        <f t="shared" si="54"/>
        <v>325000</v>
      </c>
      <c r="G309" s="135">
        <v>260000</v>
      </c>
      <c r="H309" s="135">
        <v>0</v>
      </c>
      <c r="I309" s="135">
        <v>0</v>
      </c>
      <c r="J309" s="135">
        <v>0</v>
      </c>
    </row>
    <row r="310" spans="1:10" ht="25.5" x14ac:dyDescent="0.2">
      <c r="A310" s="59" t="s">
        <v>324</v>
      </c>
      <c r="B310" s="118" t="s">
        <v>16</v>
      </c>
      <c r="C310" s="118" t="s">
        <v>315</v>
      </c>
      <c r="D310" s="99">
        <f>1500000-1499000</f>
        <v>1000</v>
      </c>
      <c r="E310" s="99">
        <f t="shared" si="53"/>
        <v>1000</v>
      </c>
      <c r="F310" s="119">
        <f t="shared" si="54"/>
        <v>6900000</v>
      </c>
      <c r="G310" s="99">
        <f>5400000+1499000</f>
        <v>6899000</v>
      </c>
      <c r="H310" s="99">
        <v>0</v>
      </c>
      <c r="I310" s="99">
        <v>0</v>
      </c>
      <c r="J310" s="99">
        <v>0</v>
      </c>
    </row>
    <row r="311" spans="1:10" ht="20.100000000000001" customHeight="1" x14ac:dyDescent="0.2">
      <c r="A311" s="218" t="s">
        <v>325</v>
      </c>
      <c r="B311" s="218"/>
      <c r="C311" s="218"/>
      <c r="D311" s="132">
        <f t="shared" ref="D311:J311" si="55">SUM(D301:D310)</f>
        <v>24481000</v>
      </c>
      <c r="E311" s="132">
        <f t="shared" si="55"/>
        <v>24481000</v>
      </c>
      <c r="F311" s="132">
        <f t="shared" si="55"/>
        <v>59421500</v>
      </c>
      <c r="G311" s="132">
        <f t="shared" si="55"/>
        <v>34880500</v>
      </c>
      <c r="H311" s="132">
        <f t="shared" si="55"/>
        <v>60000</v>
      </c>
      <c r="I311" s="132">
        <f t="shared" si="55"/>
        <v>0</v>
      </c>
      <c r="J311" s="132">
        <f t="shared" si="55"/>
        <v>0</v>
      </c>
    </row>
    <row r="312" spans="1:10" ht="29.25" customHeight="1" x14ac:dyDescent="0.2">
      <c r="A312" s="219" t="s">
        <v>326</v>
      </c>
      <c r="B312" s="219"/>
      <c r="C312" s="219"/>
      <c r="D312" s="133">
        <v>48000</v>
      </c>
      <c r="E312" s="133">
        <f>D312</f>
        <v>48000</v>
      </c>
      <c r="F312" s="133">
        <f>D312</f>
        <v>48000</v>
      </c>
      <c r="G312" s="133"/>
      <c r="H312" s="133"/>
      <c r="I312" s="133"/>
      <c r="J312" s="133"/>
    </row>
    <row r="313" spans="1:10" ht="20.100000000000001" customHeight="1" x14ac:dyDescent="0.2">
      <c r="A313" s="220" t="s">
        <v>327</v>
      </c>
      <c r="B313" s="220"/>
      <c r="C313" s="220"/>
      <c r="D313" s="134">
        <f>D312+D311</f>
        <v>24529000</v>
      </c>
      <c r="E313" s="134">
        <f t="shared" ref="E313:J313" si="56">E312+E311</f>
        <v>24529000</v>
      </c>
      <c r="F313" s="134">
        <f t="shared" si="56"/>
        <v>59469500</v>
      </c>
      <c r="G313" s="134">
        <f t="shared" si="56"/>
        <v>34880500</v>
      </c>
      <c r="H313" s="134">
        <f t="shared" si="56"/>
        <v>60000</v>
      </c>
      <c r="I313" s="134">
        <f t="shared" si="56"/>
        <v>0</v>
      </c>
      <c r="J313" s="134">
        <f t="shared" si="56"/>
        <v>0</v>
      </c>
    </row>
    <row r="314" spans="1:10" ht="20.100000000000001" customHeight="1" x14ac:dyDescent="0.2">
      <c r="A314" s="221" t="s">
        <v>262</v>
      </c>
      <c r="B314" s="221"/>
      <c r="C314" s="221"/>
      <c r="D314" s="221"/>
      <c r="E314" s="221"/>
      <c r="F314" s="221"/>
      <c r="G314" s="221"/>
      <c r="H314" s="221"/>
      <c r="I314" s="221"/>
      <c r="J314" s="221"/>
    </row>
    <row r="315" spans="1:10" ht="25.5" x14ac:dyDescent="0.2">
      <c r="A315" s="97" t="s">
        <v>328</v>
      </c>
      <c r="B315" s="136" t="s">
        <v>16</v>
      </c>
      <c r="C315" s="136" t="s">
        <v>329</v>
      </c>
      <c r="D315" s="137">
        <v>98770</v>
      </c>
      <c r="E315" s="138">
        <f t="shared" ref="E315:E367" si="57">D315</f>
        <v>98770</v>
      </c>
      <c r="F315" s="139">
        <f t="shared" ref="F315:F367" si="58">D315+G315+H315+I315+J315</f>
        <v>100430</v>
      </c>
      <c r="G315" s="137">
        <v>1660</v>
      </c>
      <c r="H315" s="138">
        <v>0</v>
      </c>
      <c r="I315" s="138">
        <v>0</v>
      </c>
      <c r="J315" s="138">
        <v>0</v>
      </c>
    </row>
    <row r="316" spans="1:10" ht="25.5" x14ac:dyDescent="0.2">
      <c r="A316" s="97" t="s">
        <v>330</v>
      </c>
      <c r="B316" s="136" t="s">
        <v>16</v>
      </c>
      <c r="C316" s="136" t="s">
        <v>329</v>
      </c>
      <c r="D316" s="137">
        <v>70000</v>
      </c>
      <c r="E316" s="138">
        <f t="shared" si="57"/>
        <v>70000</v>
      </c>
      <c r="F316" s="139">
        <f t="shared" si="58"/>
        <v>73700</v>
      </c>
      <c r="G316" s="137">
        <v>3700</v>
      </c>
      <c r="H316" s="138">
        <v>0</v>
      </c>
      <c r="I316" s="138">
        <v>0</v>
      </c>
      <c r="J316" s="138">
        <v>0</v>
      </c>
    </row>
    <row r="317" spans="1:10" ht="30.75" customHeight="1" x14ac:dyDescent="0.2">
      <c r="A317" s="97" t="s">
        <v>331</v>
      </c>
      <c r="B317" s="118" t="s">
        <v>16</v>
      </c>
      <c r="C317" s="118" t="s">
        <v>329</v>
      </c>
      <c r="D317" s="140">
        <v>3640</v>
      </c>
      <c r="E317" s="99">
        <f t="shared" si="57"/>
        <v>3640</v>
      </c>
      <c r="F317" s="119">
        <f t="shared" si="58"/>
        <v>3640</v>
      </c>
      <c r="G317" s="140">
        <v>0</v>
      </c>
      <c r="H317" s="99">
        <v>0</v>
      </c>
      <c r="I317" s="99">
        <v>0</v>
      </c>
      <c r="J317" s="99">
        <v>0</v>
      </c>
    </row>
    <row r="318" spans="1:10" ht="25.5" x14ac:dyDescent="0.2">
      <c r="A318" s="97" t="s">
        <v>332</v>
      </c>
      <c r="B318" s="118" t="s">
        <v>16</v>
      </c>
      <c r="C318" s="118" t="s">
        <v>329</v>
      </c>
      <c r="D318" s="140">
        <v>3650</v>
      </c>
      <c r="E318" s="99">
        <f t="shared" si="57"/>
        <v>3650</v>
      </c>
      <c r="F318" s="119">
        <f t="shared" si="58"/>
        <v>3650</v>
      </c>
      <c r="G318" s="140">
        <v>0</v>
      </c>
      <c r="H318" s="99">
        <v>0</v>
      </c>
      <c r="I318" s="99">
        <v>0</v>
      </c>
      <c r="J318" s="99">
        <v>0</v>
      </c>
    </row>
    <row r="319" spans="1:10" ht="25.5" x14ac:dyDescent="0.2">
      <c r="A319" s="97" t="s">
        <v>333</v>
      </c>
      <c r="B319" s="118" t="s">
        <v>16</v>
      </c>
      <c r="C319" s="118" t="s">
        <v>329</v>
      </c>
      <c r="D319" s="140">
        <f>3570+80</f>
        <v>3650</v>
      </c>
      <c r="E319" s="99">
        <f t="shared" si="57"/>
        <v>3650</v>
      </c>
      <c r="F319" s="119">
        <f t="shared" si="58"/>
        <v>3650</v>
      </c>
      <c r="G319" s="140">
        <v>0</v>
      </c>
      <c r="H319" s="99">
        <v>0</v>
      </c>
      <c r="I319" s="99">
        <v>0</v>
      </c>
      <c r="J319" s="99">
        <v>0</v>
      </c>
    </row>
    <row r="320" spans="1:10" ht="25.5" x14ac:dyDescent="0.2">
      <c r="A320" s="97" t="s">
        <v>334</v>
      </c>
      <c r="B320" s="118" t="s">
        <v>16</v>
      </c>
      <c r="C320" s="118" t="s">
        <v>329</v>
      </c>
      <c r="D320" s="140">
        <v>93000</v>
      </c>
      <c r="E320" s="99">
        <f t="shared" si="57"/>
        <v>93000</v>
      </c>
      <c r="F320" s="119">
        <f>D320+G320+H320+I320+J320</f>
        <v>96700</v>
      </c>
      <c r="G320" s="140">
        <v>3700</v>
      </c>
      <c r="H320" s="99">
        <v>0</v>
      </c>
      <c r="I320" s="99">
        <v>0</v>
      </c>
      <c r="J320" s="99">
        <v>0</v>
      </c>
    </row>
    <row r="321" spans="1:10" ht="25.5" x14ac:dyDescent="0.2">
      <c r="A321" s="97" t="s">
        <v>335</v>
      </c>
      <c r="B321" s="118" t="s">
        <v>16</v>
      </c>
      <c r="C321" s="118" t="s">
        <v>329</v>
      </c>
      <c r="D321" s="140">
        <f>107630+70</f>
        <v>107700</v>
      </c>
      <c r="E321" s="99">
        <f t="shared" si="57"/>
        <v>107700</v>
      </c>
      <c r="F321" s="119">
        <f t="shared" si="58"/>
        <v>112600</v>
      </c>
      <c r="G321" s="140">
        <v>4900</v>
      </c>
      <c r="H321" s="99">
        <v>0</v>
      </c>
      <c r="I321" s="99">
        <v>0</v>
      </c>
      <c r="J321" s="99">
        <v>0</v>
      </c>
    </row>
    <row r="322" spans="1:10" ht="25.5" x14ac:dyDescent="0.2">
      <c r="A322" s="97" t="s">
        <v>336</v>
      </c>
      <c r="B322" s="118" t="s">
        <v>16</v>
      </c>
      <c r="C322" s="118" t="s">
        <v>329</v>
      </c>
      <c r="D322" s="140">
        <v>4200</v>
      </c>
      <c r="E322" s="99">
        <f t="shared" si="57"/>
        <v>4200</v>
      </c>
      <c r="F322" s="119">
        <f t="shared" si="58"/>
        <v>4200</v>
      </c>
      <c r="G322" s="140">
        <v>0</v>
      </c>
      <c r="H322" s="99">
        <v>0</v>
      </c>
      <c r="I322" s="99">
        <v>0</v>
      </c>
      <c r="J322" s="99">
        <v>0</v>
      </c>
    </row>
    <row r="323" spans="1:10" ht="25.5" x14ac:dyDescent="0.2">
      <c r="A323" s="97" t="s">
        <v>337</v>
      </c>
      <c r="B323" s="118" t="s">
        <v>16</v>
      </c>
      <c r="C323" s="118" t="s">
        <v>329</v>
      </c>
      <c r="D323" s="140">
        <v>4230</v>
      </c>
      <c r="E323" s="99">
        <f t="shared" si="57"/>
        <v>4230</v>
      </c>
      <c r="F323" s="119">
        <f t="shared" si="58"/>
        <v>8430</v>
      </c>
      <c r="G323" s="140">
        <v>4200</v>
      </c>
      <c r="H323" s="99">
        <v>0</v>
      </c>
      <c r="I323" s="99">
        <v>0</v>
      </c>
      <c r="J323" s="99">
        <v>0</v>
      </c>
    </row>
    <row r="324" spans="1:10" ht="25.5" x14ac:dyDescent="0.2">
      <c r="A324" s="97" t="s">
        <v>338</v>
      </c>
      <c r="B324" s="118" t="s">
        <v>16</v>
      </c>
      <c r="C324" s="118" t="s">
        <v>329</v>
      </c>
      <c r="D324" s="140">
        <v>82800</v>
      </c>
      <c r="E324" s="99">
        <f t="shared" si="57"/>
        <v>82800</v>
      </c>
      <c r="F324" s="119">
        <f t="shared" si="58"/>
        <v>87000</v>
      </c>
      <c r="G324" s="140">
        <v>4200</v>
      </c>
      <c r="H324" s="99">
        <v>0</v>
      </c>
      <c r="I324" s="99">
        <v>0</v>
      </c>
      <c r="J324" s="99">
        <v>0</v>
      </c>
    </row>
    <row r="325" spans="1:10" ht="25.5" x14ac:dyDescent="0.2">
      <c r="A325" s="97" t="s">
        <v>339</v>
      </c>
      <c r="B325" s="118" t="s">
        <v>16</v>
      </c>
      <c r="C325" s="118" t="s">
        <v>329</v>
      </c>
      <c r="D325" s="140">
        <v>3600</v>
      </c>
      <c r="E325" s="99">
        <f t="shared" si="57"/>
        <v>3600</v>
      </c>
      <c r="F325" s="119">
        <f t="shared" si="58"/>
        <v>7600</v>
      </c>
      <c r="G325" s="140">
        <v>4000</v>
      </c>
      <c r="H325" s="99">
        <v>0</v>
      </c>
      <c r="I325" s="99">
        <v>0</v>
      </c>
      <c r="J325" s="99">
        <v>0</v>
      </c>
    </row>
    <row r="326" spans="1:10" ht="25.5" x14ac:dyDescent="0.2">
      <c r="A326" s="97" t="s">
        <v>340</v>
      </c>
      <c r="B326" s="118" t="s">
        <v>16</v>
      </c>
      <c r="C326" s="118" t="s">
        <v>329</v>
      </c>
      <c r="D326" s="140">
        <v>3630</v>
      </c>
      <c r="E326" s="99">
        <f t="shared" si="57"/>
        <v>3630</v>
      </c>
      <c r="F326" s="119">
        <f t="shared" si="58"/>
        <v>3630</v>
      </c>
      <c r="G326" s="140">
        <v>0</v>
      </c>
      <c r="H326" s="99">
        <v>0</v>
      </c>
      <c r="I326" s="99">
        <v>0</v>
      </c>
      <c r="J326" s="99">
        <v>0</v>
      </c>
    </row>
    <row r="327" spans="1:10" ht="25.5" x14ac:dyDescent="0.2">
      <c r="A327" s="97" t="s">
        <v>341</v>
      </c>
      <c r="B327" s="118" t="s">
        <v>16</v>
      </c>
      <c r="C327" s="118" t="s">
        <v>329</v>
      </c>
      <c r="D327" s="140">
        <v>155000</v>
      </c>
      <c r="E327" s="99">
        <f t="shared" si="57"/>
        <v>155000</v>
      </c>
      <c r="F327" s="119">
        <f t="shared" si="58"/>
        <v>161000</v>
      </c>
      <c r="G327" s="140">
        <v>6000</v>
      </c>
      <c r="H327" s="99">
        <v>0</v>
      </c>
      <c r="I327" s="99">
        <v>0</v>
      </c>
      <c r="J327" s="99">
        <v>0</v>
      </c>
    </row>
    <row r="328" spans="1:10" ht="25.5" x14ac:dyDescent="0.2">
      <c r="A328" s="97" t="s">
        <v>342</v>
      </c>
      <c r="B328" s="118" t="s">
        <v>16</v>
      </c>
      <c r="C328" s="118" t="s">
        <v>329</v>
      </c>
      <c r="D328" s="99">
        <v>2808400</v>
      </c>
      <c r="E328" s="99">
        <f t="shared" si="57"/>
        <v>2808400</v>
      </c>
      <c r="F328" s="119">
        <f t="shared" si="58"/>
        <v>4079000</v>
      </c>
      <c r="G328" s="99">
        <v>1270600</v>
      </c>
      <c r="H328" s="99">
        <v>0</v>
      </c>
      <c r="I328" s="99">
        <v>0</v>
      </c>
      <c r="J328" s="99">
        <v>0</v>
      </c>
    </row>
    <row r="329" spans="1:10" ht="25.5" x14ac:dyDescent="0.2">
      <c r="A329" s="97" t="s">
        <v>343</v>
      </c>
      <c r="B329" s="118" t="s">
        <v>16</v>
      </c>
      <c r="C329" s="118" t="s">
        <v>329</v>
      </c>
      <c r="D329" s="99">
        <v>2750000</v>
      </c>
      <c r="E329" s="99">
        <f t="shared" si="57"/>
        <v>2750000</v>
      </c>
      <c r="F329" s="119">
        <f t="shared" si="58"/>
        <v>3260000</v>
      </c>
      <c r="G329" s="99">
        <v>510000</v>
      </c>
      <c r="H329" s="99">
        <v>0</v>
      </c>
      <c r="I329" s="99">
        <v>0</v>
      </c>
      <c r="J329" s="99">
        <v>0</v>
      </c>
    </row>
    <row r="330" spans="1:10" ht="25.5" x14ac:dyDescent="0.2">
      <c r="A330" s="97" t="s">
        <v>344</v>
      </c>
      <c r="B330" s="118" t="s">
        <v>16</v>
      </c>
      <c r="C330" s="118" t="s">
        <v>329</v>
      </c>
      <c r="D330" s="99">
        <f>2947150</f>
        <v>2947150</v>
      </c>
      <c r="E330" s="99">
        <f t="shared" si="57"/>
        <v>2947150</v>
      </c>
      <c r="F330" s="119">
        <f t="shared" si="58"/>
        <v>2947150</v>
      </c>
      <c r="G330" s="99">
        <v>0</v>
      </c>
      <c r="H330" s="99">
        <v>0</v>
      </c>
      <c r="I330" s="99">
        <v>0</v>
      </c>
      <c r="J330" s="99">
        <v>0</v>
      </c>
    </row>
    <row r="331" spans="1:10" ht="25.5" x14ac:dyDescent="0.2">
      <c r="A331" s="97" t="s">
        <v>345</v>
      </c>
      <c r="B331" s="118" t="s">
        <v>16</v>
      </c>
      <c r="C331" s="118" t="s">
        <v>329</v>
      </c>
      <c r="D331" s="99">
        <f>5178700-140000+140000</f>
        <v>5178700</v>
      </c>
      <c r="E331" s="99">
        <f t="shared" si="57"/>
        <v>5178700</v>
      </c>
      <c r="F331" s="119">
        <f t="shared" si="58"/>
        <v>5178700</v>
      </c>
      <c r="G331" s="99">
        <v>0</v>
      </c>
      <c r="H331" s="99">
        <v>0</v>
      </c>
      <c r="I331" s="99">
        <v>0</v>
      </c>
      <c r="J331" s="99">
        <v>0</v>
      </c>
    </row>
    <row r="332" spans="1:10" ht="25.5" x14ac:dyDescent="0.2">
      <c r="A332" s="97" t="s">
        <v>346</v>
      </c>
      <c r="B332" s="118" t="s">
        <v>16</v>
      </c>
      <c r="C332" s="118" t="s">
        <v>329</v>
      </c>
      <c r="D332" s="99">
        <v>2557000</v>
      </c>
      <c r="E332" s="99">
        <f t="shared" si="57"/>
        <v>2557000</v>
      </c>
      <c r="F332" s="119">
        <f>D332+G332+H332+I332+J332</f>
        <v>2557000</v>
      </c>
      <c r="G332" s="99">
        <v>0</v>
      </c>
      <c r="H332" s="99">
        <v>0</v>
      </c>
      <c r="I332" s="99">
        <v>0</v>
      </c>
      <c r="J332" s="99">
        <v>0</v>
      </c>
    </row>
    <row r="333" spans="1:10" ht="21" customHeight="1" x14ac:dyDescent="0.2">
      <c r="A333" s="97" t="s">
        <v>347</v>
      </c>
      <c r="B333" s="118" t="s">
        <v>16</v>
      </c>
      <c r="C333" s="118" t="s">
        <v>329</v>
      </c>
      <c r="D333" s="99">
        <v>3205000</v>
      </c>
      <c r="E333" s="99">
        <f t="shared" si="57"/>
        <v>3205000</v>
      </c>
      <c r="F333" s="119">
        <f t="shared" si="58"/>
        <v>3905000</v>
      </c>
      <c r="G333" s="99">
        <v>700000</v>
      </c>
      <c r="H333" s="99">
        <v>0</v>
      </c>
      <c r="I333" s="99">
        <v>0</v>
      </c>
      <c r="J333" s="99">
        <v>0</v>
      </c>
    </row>
    <row r="334" spans="1:10" ht="25.5" x14ac:dyDescent="0.2">
      <c r="A334" s="97" t="s">
        <v>348</v>
      </c>
      <c r="B334" s="118" t="s">
        <v>16</v>
      </c>
      <c r="C334" s="118" t="s">
        <v>329</v>
      </c>
      <c r="D334" s="99">
        <v>5600000</v>
      </c>
      <c r="E334" s="99">
        <f t="shared" si="57"/>
        <v>5600000</v>
      </c>
      <c r="F334" s="119">
        <f t="shared" si="58"/>
        <v>6110000</v>
      </c>
      <c r="G334" s="99">
        <v>510000</v>
      </c>
      <c r="H334" s="99">
        <v>0</v>
      </c>
      <c r="I334" s="99">
        <v>0</v>
      </c>
      <c r="J334" s="99">
        <v>0</v>
      </c>
    </row>
    <row r="335" spans="1:10" ht="25.5" x14ac:dyDescent="0.2">
      <c r="A335" s="97" t="s">
        <v>349</v>
      </c>
      <c r="B335" s="118" t="s">
        <v>16</v>
      </c>
      <c r="C335" s="118" t="s">
        <v>329</v>
      </c>
      <c r="D335" s="99">
        <f>3090600-1090600</f>
        <v>2000000</v>
      </c>
      <c r="E335" s="99">
        <f t="shared" si="57"/>
        <v>2000000</v>
      </c>
      <c r="F335" s="119">
        <f t="shared" si="58"/>
        <v>2000000</v>
      </c>
      <c r="G335" s="99">
        <v>0</v>
      </c>
      <c r="H335" s="99">
        <v>0</v>
      </c>
      <c r="I335" s="99">
        <v>0</v>
      </c>
      <c r="J335" s="99">
        <v>0</v>
      </c>
    </row>
    <row r="336" spans="1:10" ht="25.5" x14ac:dyDescent="0.2">
      <c r="A336" s="97" t="s">
        <v>350</v>
      </c>
      <c r="B336" s="118" t="s">
        <v>16</v>
      </c>
      <c r="C336" s="118" t="s">
        <v>329</v>
      </c>
      <c r="D336" s="99">
        <f>5050900-490</f>
        <v>5050410</v>
      </c>
      <c r="E336" s="99">
        <f t="shared" si="57"/>
        <v>5050410</v>
      </c>
      <c r="F336" s="119">
        <f t="shared" si="58"/>
        <v>5050410</v>
      </c>
      <c r="G336" s="99">
        <v>0</v>
      </c>
      <c r="H336" s="99">
        <v>0</v>
      </c>
      <c r="I336" s="99">
        <v>0</v>
      </c>
      <c r="J336" s="99">
        <v>0</v>
      </c>
    </row>
    <row r="337" spans="1:12" ht="25.5" x14ac:dyDescent="0.2">
      <c r="A337" s="97" t="s">
        <v>351</v>
      </c>
      <c r="B337" s="118" t="s">
        <v>16</v>
      </c>
      <c r="C337" s="118" t="s">
        <v>329</v>
      </c>
      <c r="D337" s="99">
        <v>2380000</v>
      </c>
      <c r="E337" s="99">
        <f t="shared" si="57"/>
        <v>2380000</v>
      </c>
      <c r="F337" s="119">
        <f t="shared" si="58"/>
        <v>2600000</v>
      </c>
      <c r="G337" s="99">
        <v>220000</v>
      </c>
      <c r="H337" s="99">
        <v>0</v>
      </c>
      <c r="I337" s="99">
        <v>0</v>
      </c>
      <c r="J337" s="99">
        <v>0</v>
      </c>
    </row>
    <row r="338" spans="1:12" ht="25.5" x14ac:dyDescent="0.2">
      <c r="A338" s="97" t="s">
        <v>352</v>
      </c>
      <c r="B338" s="118" t="s">
        <v>16</v>
      </c>
      <c r="C338" s="118" t="s">
        <v>329</v>
      </c>
      <c r="D338" s="99">
        <f>706600</f>
        <v>706600</v>
      </c>
      <c r="E338" s="99">
        <f t="shared" si="57"/>
        <v>706600</v>
      </c>
      <c r="F338" s="119">
        <f t="shared" si="58"/>
        <v>706600</v>
      </c>
      <c r="G338" s="99">
        <v>0</v>
      </c>
      <c r="H338" s="99">
        <v>0</v>
      </c>
      <c r="I338" s="99">
        <v>0</v>
      </c>
      <c r="J338" s="99">
        <v>0</v>
      </c>
    </row>
    <row r="339" spans="1:12" ht="25.5" x14ac:dyDescent="0.2">
      <c r="A339" s="97" t="s">
        <v>353</v>
      </c>
      <c r="B339" s="118" t="s">
        <v>16</v>
      </c>
      <c r="C339" s="118" t="s">
        <v>329</v>
      </c>
      <c r="D339" s="99">
        <v>1683530</v>
      </c>
      <c r="E339" s="99">
        <f t="shared" si="57"/>
        <v>1683530</v>
      </c>
      <c r="F339" s="119">
        <f t="shared" si="58"/>
        <v>1683530</v>
      </c>
      <c r="G339" s="99">
        <v>0</v>
      </c>
      <c r="H339" s="99">
        <v>0</v>
      </c>
      <c r="I339" s="99">
        <v>0</v>
      </c>
      <c r="J339" s="99">
        <v>0</v>
      </c>
      <c r="K339" s="57"/>
      <c r="L339" s="55"/>
    </row>
    <row r="340" spans="1:12" ht="25.5" x14ac:dyDescent="0.2">
      <c r="A340" s="97" t="s">
        <v>354</v>
      </c>
      <c r="B340" s="118" t="s">
        <v>16</v>
      </c>
      <c r="C340" s="118" t="s">
        <v>329</v>
      </c>
      <c r="D340" s="99">
        <v>5000000</v>
      </c>
      <c r="E340" s="99">
        <f t="shared" si="57"/>
        <v>5000000</v>
      </c>
      <c r="F340" s="119">
        <f t="shared" si="58"/>
        <v>11803000</v>
      </c>
      <c r="G340" s="99">
        <v>6803000</v>
      </c>
      <c r="H340" s="99">
        <v>0</v>
      </c>
      <c r="I340" s="99">
        <v>0</v>
      </c>
      <c r="J340" s="99">
        <v>0</v>
      </c>
    </row>
    <row r="341" spans="1:12" ht="25.5" x14ac:dyDescent="0.2">
      <c r="A341" s="97" t="s">
        <v>355</v>
      </c>
      <c r="B341" s="118" t="s">
        <v>16</v>
      </c>
      <c r="C341" s="118" t="s">
        <v>329</v>
      </c>
      <c r="D341" s="99">
        <v>37100</v>
      </c>
      <c r="E341" s="99">
        <f t="shared" si="57"/>
        <v>37100</v>
      </c>
      <c r="F341" s="119">
        <f t="shared" si="58"/>
        <v>51425</v>
      </c>
      <c r="G341" s="99">
        <v>14325</v>
      </c>
      <c r="H341" s="99">
        <v>0</v>
      </c>
      <c r="I341" s="99">
        <v>0</v>
      </c>
      <c r="J341" s="99">
        <v>0</v>
      </c>
    </row>
    <row r="342" spans="1:12" ht="25.5" x14ac:dyDescent="0.2">
      <c r="A342" s="97" t="s">
        <v>356</v>
      </c>
      <c r="B342" s="118" t="s">
        <v>16</v>
      </c>
      <c r="C342" s="118" t="s">
        <v>329</v>
      </c>
      <c r="D342" s="99">
        <v>20300</v>
      </c>
      <c r="E342" s="99">
        <f t="shared" si="57"/>
        <v>20300</v>
      </c>
      <c r="F342" s="119">
        <f t="shared" si="58"/>
        <v>30300</v>
      </c>
      <c r="G342" s="99">
        <v>10000</v>
      </c>
      <c r="H342" s="99">
        <v>0</v>
      </c>
      <c r="I342" s="99">
        <v>0</v>
      </c>
      <c r="J342" s="99">
        <v>0</v>
      </c>
    </row>
    <row r="343" spans="1:12" ht="25.5" x14ac:dyDescent="0.2">
      <c r="A343" s="97" t="s">
        <v>357</v>
      </c>
      <c r="B343" s="118" t="s">
        <v>16</v>
      </c>
      <c r="C343" s="118" t="s">
        <v>329</v>
      </c>
      <c r="D343" s="99">
        <v>42900</v>
      </c>
      <c r="E343" s="99">
        <f t="shared" si="57"/>
        <v>42900</v>
      </c>
      <c r="F343" s="119">
        <f t="shared" si="58"/>
        <v>42900</v>
      </c>
      <c r="G343" s="99">
        <v>0</v>
      </c>
      <c r="H343" s="99">
        <v>0</v>
      </c>
      <c r="I343" s="99">
        <v>0</v>
      </c>
      <c r="J343" s="99">
        <v>0</v>
      </c>
    </row>
    <row r="344" spans="1:12" ht="25.5" x14ac:dyDescent="0.2">
      <c r="A344" s="97" t="s">
        <v>358</v>
      </c>
      <c r="B344" s="118" t="s">
        <v>16</v>
      </c>
      <c r="C344" s="118" t="s">
        <v>329</v>
      </c>
      <c r="D344" s="99">
        <f>51000-250</f>
        <v>50750</v>
      </c>
      <c r="E344" s="99">
        <f t="shared" si="57"/>
        <v>50750</v>
      </c>
      <c r="F344" s="119">
        <f t="shared" si="58"/>
        <v>50750</v>
      </c>
      <c r="G344" s="99">
        <v>0</v>
      </c>
      <c r="H344" s="99">
        <v>0</v>
      </c>
      <c r="I344" s="99">
        <v>0</v>
      </c>
      <c r="J344" s="99">
        <v>0</v>
      </c>
    </row>
    <row r="345" spans="1:12" ht="25.5" customHeight="1" x14ac:dyDescent="0.2">
      <c r="A345" s="97" t="s">
        <v>359</v>
      </c>
      <c r="B345" s="118" t="s">
        <v>16</v>
      </c>
      <c r="C345" s="118" t="s">
        <v>329</v>
      </c>
      <c r="D345" s="99">
        <f>20000+5000</f>
        <v>25000</v>
      </c>
      <c r="E345" s="99">
        <f t="shared" si="57"/>
        <v>25000</v>
      </c>
      <c r="F345" s="119">
        <f t="shared" si="58"/>
        <v>25000</v>
      </c>
      <c r="G345" s="99">
        <v>0</v>
      </c>
      <c r="H345" s="99">
        <v>0</v>
      </c>
      <c r="I345" s="99">
        <v>0</v>
      </c>
      <c r="J345" s="99">
        <v>0</v>
      </c>
    </row>
    <row r="346" spans="1:12" ht="24.95" customHeight="1" x14ac:dyDescent="0.2">
      <c r="A346" s="97" t="s">
        <v>360</v>
      </c>
      <c r="B346" s="118" t="s">
        <v>16</v>
      </c>
      <c r="C346" s="118" t="s">
        <v>329</v>
      </c>
      <c r="D346" s="99">
        <v>31000</v>
      </c>
      <c r="E346" s="99">
        <f t="shared" si="57"/>
        <v>31000</v>
      </c>
      <c r="F346" s="119">
        <f t="shared" si="58"/>
        <v>37600</v>
      </c>
      <c r="G346" s="99">
        <v>6600</v>
      </c>
      <c r="H346" s="99">
        <v>0</v>
      </c>
      <c r="I346" s="99">
        <v>0</v>
      </c>
      <c r="J346" s="99">
        <v>0</v>
      </c>
    </row>
    <row r="347" spans="1:12" ht="32.25" customHeight="1" x14ac:dyDescent="0.2">
      <c r="A347" s="97" t="s">
        <v>361</v>
      </c>
      <c r="B347" s="118" t="s">
        <v>16</v>
      </c>
      <c r="C347" s="118" t="s">
        <v>329</v>
      </c>
      <c r="D347" s="99">
        <v>55450</v>
      </c>
      <c r="E347" s="99">
        <f t="shared" si="57"/>
        <v>55450</v>
      </c>
      <c r="F347" s="119">
        <f t="shared" si="58"/>
        <v>60500</v>
      </c>
      <c r="G347" s="99">
        <v>5050</v>
      </c>
      <c r="H347" s="99">
        <v>0</v>
      </c>
      <c r="I347" s="99">
        <v>0</v>
      </c>
      <c r="J347" s="99">
        <v>0</v>
      </c>
    </row>
    <row r="348" spans="1:12" ht="29.25" customHeight="1" x14ac:dyDescent="0.2">
      <c r="A348" s="97" t="s">
        <v>362</v>
      </c>
      <c r="B348" s="118" t="s">
        <v>16</v>
      </c>
      <c r="C348" s="118" t="s">
        <v>329</v>
      </c>
      <c r="D348" s="99">
        <f>37000-10</f>
        <v>36990</v>
      </c>
      <c r="E348" s="99">
        <f t="shared" si="57"/>
        <v>36990</v>
      </c>
      <c r="F348" s="119">
        <f t="shared" si="58"/>
        <v>36990</v>
      </c>
      <c r="G348" s="99">
        <v>0</v>
      </c>
      <c r="H348" s="99">
        <v>0</v>
      </c>
      <c r="I348" s="99">
        <v>0</v>
      </c>
      <c r="J348" s="99">
        <v>0</v>
      </c>
    </row>
    <row r="349" spans="1:12" ht="26.25" customHeight="1" x14ac:dyDescent="0.2">
      <c r="A349" s="97" t="s">
        <v>363</v>
      </c>
      <c r="B349" s="118" t="s">
        <v>16</v>
      </c>
      <c r="C349" s="118" t="s">
        <v>329</v>
      </c>
      <c r="D349" s="99">
        <v>44000</v>
      </c>
      <c r="E349" s="99">
        <f t="shared" si="57"/>
        <v>44000</v>
      </c>
      <c r="F349" s="119">
        <f t="shared" si="58"/>
        <v>44000</v>
      </c>
      <c r="G349" s="99">
        <v>0</v>
      </c>
      <c r="H349" s="99">
        <v>0</v>
      </c>
      <c r="I349" s="99">
        <v>0</v>
      </c>
      <c r="J349" s="99">
        <v>0</v>
      </c>
    </row>
    <row r="350" spans="1:12" ht="25.5" x14ac:dyDescent="0.2">
      <c r="A350" s="97" t="s">
        <v>364</v>
      </c>
      <c r="B350" s="118" t="s">
        <v>16</v>
      </c>
      <c r="C350" s="118" t="s">
        <v>329</v>
      </c>
      <c r="D350" s="99">
        <v>24750</v>
      </c>
      <c r="E350" s="99">
        <f t="shared" si="57"/>
        <v>24750</v>
      </c>
      <c r="F350" s="119">
        <f t="shared" si="58"/>
        <v>27000</v>
      </c>
      <c r="G350" s="99">
        <v>2250</v>
      </c>
      <c r="H350" s="99">
        <v>0</v>
      </c>
      <c r="I350" s="99">
        <v>0</v>
      </c>
      <c r="J350" s="99">
        <v>0</v>
      </c>
    </row>
    <row r="351" spans="1:12" ht="25.5" x14ac:dyDescent="0.2">
      <c r="A351" s="97" t="s">
        <v>365</v>
      </c>
      <c r="B351" s="118" t="s">
        <v>16</v>
      </c>
      <c r="C351" s="118" t="s">
        <v>329</v>
      </c>
      <c r="D351" s="99">
        <v>7000</v>
      </c>
      <c r="E351" s="99">
        <f t="shared" si="57"/>
        <v>7000</v>
      </c>
      <c r="F351" s="119">
        <f t="shared" si="58"/>
        <v>7000</v>
      </c>
      <c r="G351" s="99">
        <v>0</v>
      </c>
      <c r="H351" s="99">
        <v>0</v>
      </c>
      <c r="I351" s="99">
        <v>0</v>
      </c>
      <c r="J351" s="99">
        <v>0</v>
      </c>
    </row>
    <row r="352" spans="1:12" ht="24" customHeight="1" x14ac:dyDescent="0.2">
      <c r="A352" s="97" t="s">
        <v>366</v>
      </c>
      <c r="B352" s="118" t="s">
        <v>16</v>
      </c>
      <c r="C352" s="118" t="s">
        <v>329</v>
      </c>
      <c r="D352" s="99">
        <v>35090</v>
      </c>
      <c r="E352" s="99">
        <f t="shared" si="57"/>
        <v>35090</v>
      </c>
      <c r="F352" s="119">
        <f t="shared" si="58"/>
        <v>35090</v>
      </c>
      <c r="G352" s="99">
        <v>0</v>
      </c>
      <c r="H352" s="99">
        <v>0</v>
      </c>
      <c r="I352" s="99">
        <v>0</v>
      </c>
      <c r="J352" s="99">
        <v>0</v>
      </c>
    </row>
    <row r="353" spans="1:10" ht="40.5" customHeight="1" x14ac:dyDescent="0.2">
      <c r="A353" s="141" t="s">
        <v>367</v>
      </c>
      <c r="B353" s="118" t="s">
        <v>16</v>
      </c>
      <c r="C353" s="118" t="s">
        <v>329</v>
      </c>
      <c r="D353" s="99">
        <v>60000</v>
      </c>
      <c r="E353" s="99">
        <f t="shared" si="57"/>
        <v>60000</v>
      </c>
      <c r="F353" s="119">
        <f t="shared" si="58"/>
        <v>124000</v>
      </c>
      <c r="G353" s="99">
        <v>64000</v>
      </c>
      <c r="H353" s="99">
        <v>0</v>
      </c>
      <c r="I353" s="99">
        <v>0</v>
      </c>
      <c r="J353" s="99">
        <v>0</v>
      </c>
    </row>
    <row r="354" spans="1:10" ht="28.5" customHeight="1" x14ac:dyDescent="0.2">
      <c r="A354" s="142" t="s">
        <v>368</v>
      </c>
      <c r="B354" s="118" t="s">
        <v>16</v>
      </c>
      <c r="C354" s="118" t="s">
        <v>329</v>
      </c>
      <c r="D354" s="99">
        <v>9600</v>
      </c>
      <c r="E354" s="99">
        <f t="shared" si="57"/>
        <v>9600</v>
      </c>
      <c r="F354" s="119">
        <f t="shared" si="58"/>
        <v>32540</v>
      </c>
      <c r="G354" s="99">
        <v>22940</v>
      </c>
      <c r="H354" s="99">
        <v>0</v>
      </c>
      <c r="I354" s="99">
        <v>0</v>
      </c>
      <c r="J354" s="99">
        <v>0</v>
      </c>
    </row>
    <row r="355" spans="1:10" ht="24.75" customHeight="1" x14ac:dyDescent="0.2">
      <c r="A355" s="97" t="s">
        <v>369</v>
      </c>
      <c r="B355" s="118" t="s">
        <v>16</v>
      </c>
      <c r="C355" s="118" t="s">
        <v>329</v>
      </c>
      <c r="D355" s="99">
        <v>8100</v>
      </c>
      <c r="E355" s="99">
        <f t="shared" si="57"/>
        <v>8100</v>
      </c>
      <c r="F355" s="119">
        <f t="shared" si="58"/>
        <v>12100</v>
      </c>
      <c r="G355" s="99">
        <v>4000</v>
      </c>
      <c r="H355" s="99">
        <v>0</v>
      </c>
      <c r="I355" s="99">
        <v>0</v>
      </c>
      <c r="J355" s="99">
        <v>0</v>
      </c>
    </row>
    <row r="356" spans="1:10" ht="27" customHeight="1" x14ac:dyDescent="0.2">
      <c r="A356" s="97" t="s">
        <v>370</v>
      </c>
      <c r="B356" s="118" t="s">
        <v>16</v>
      </c>
      <c r="C356" s="118" t="s">
        <v>329</v>
      </c>
      <c r="D356" s="99">
        <v>22710</v>
      </c>
      <c r="E356" s="99">
        <f t="shared" si="57"/>
        <v>22710</v>
      </c>
      <c r="F356" s="119">
        <f t="shared" si="58"/>
        <v>22710</v>
      </c>
      <c r="G356" s="99">
        <v>0</v>
      </c>
      <c r="H356" s="99">
        <v>0</v>
      </c>
      <c r="I356" s="99">
        <v>0</v>
      </c>
      <c r="J356" s="99">
        <v>0</v>
      </c>
    </row>
    <row r="357" spans="1:10" ht="38.25" x14ac:dyDescent="0.2">
      <c r="A357" s="97" t="s">
        <v>371</v>
      </c>
      <c r="B357" s="118" t="s">
        <v>16</v>
      </c>
      <c r="C357" s="118" t="s">
        <v>329</v>
      </c>
      <c r="D357" s="99">
        <f>24000+200</f>
        <v>24200</v>
      </c>
      <c r="E357" s="99">
        <f t="shared" si="57"/>
        <v>24200</v>
      </c>
      <c r="F357" s="119">
        <f t="shared" si="58"/>
        <v>24200</v>
      </c>
      <c r="G357" s="99">
        <v>0</v>
      </c>
      <c r="H357" s="99">
        <v>0</v>
      </c>
      <c r="I357" s="99">
        <v>0</v>
      </c>
      <c r="J357" s="99">
        <v>0</v>
      </c>
    </row>
    <row r="358" spans="1:10" ht="30.75" customHeight="1" x14ac:dyDescent="0.2">
      <c r="A358" s="97" t="s">
        <v>372</v>
      </c>
      <c r="B358" s="118" t="s">
        <v>16</v>
      </c>
      <c r="C358" s="118" t="s">
        <v>329</v>
      </c>
      <c r="D358" s="99">
        <f>19600+400</f>
        <v>20000</v>
      </c>
      <c r="E358" s="99">
        <f t="shared" si="57"/>
        <v>20000</v>
      </c>
      <c r="F358" s="119">
        <f t="shared" si="58"/>
        <v>20000</v>
      </c>
      <c r="G358" s="99">
        <v>0</v>
      </c>
      <c r="H358" s="99">
        <v>0</v>
      </c>
      <c r="I358" s="99">
        <v>0</v>
      </c>
      <c r="J358" s="99">
        <v>0</v>
      </c>
    </row>
    <row r="359" spans="1:10" ht="26.25" customHeight="1" x14ac:dyDescent="0.2">
      <c r="A359" s="97" t="s">
        <v>373</v>
      </c>
      <c r="B359" s="118" t="s">
        <v>16</v>
      </c>
      <c r="C359" s="118" t="s">
        <v>329</v>
      </c>
      <c r="D359" s="99">
        <v>22100</v>
      </c>
      <c r="E359" s="99">
        <f t="shared" si="57"/>
        <v>22100</v>
      </c>
      <c r="F359" s="119">
        <f t="shared" si="58"/>
        <v>31100</v>
      </c>
      <c r="G359" s="99">
        <v>9000</v>
      </c>
      <c r="H359" s="99">
        <v>0</v>
      </c>
      <c r="I359" s="99">
        <v>0</v>
      </c>
      <c r="J359" s="99">
        <v>0</v>
      </c>
    </row>
    <row r="360" spans="1:10" ht="26.25" customHeight="1" x14ac:dyDescent="0.2">
      <c r="A360" s="97" t="s">
        <v>374</v>
      </c>
      <c r="B360" s="118" t="s">
        <v>16</v>
      </c>
      <c r="C360" s="118" t="s">
        <v>329</v>
      </c>
      <c r="D360" s="99">
        <v>45850</v>
      </c>
      <c r="E360" s="99">
        <f t="shared" si="57"/>
        <v>45850</v>
      </c>
      <c r="F360" s="119">
        <f t="shared" si="58"/>
        <v>50000</v>
      </c>
      <c r="G360" s="99">
        <v>4150</v>
      </c>
      <c r="H360" s="99">
        <v>0</v>
      </c>
      <c r="I360" s="99">
        <v>0</v>
      </c>
      <c r="J360" s="99">
        <v>0</v>
      </c>
    </row>
    <row r="361" spans="1:10" ht="38.25" x14ac:dyDescent="0.2">
      <c r="A361" s="97" t="s">
        <v>375</v>
      </c>
      <c r="B361" s="118" t="s">
        <v>16</v>
      </c>
      <c r="C361" s="118" t="s">
        <v>329</v>
      </c>
      <c r="D361" s="99">
        <v>29800</v>
      </c>
      <c r="E361" s="99">
        <f t="shared" si="57"/>
        <v>29800</v>
      </c>
      <c r="F361" s="119">
        <f t="shared" si="58"/>
        <v>29800</v>
      </c>
      <c r="G361" s="99">
        <v>0</v>
      </c>
      <c r="H361" s="99">
        <v>0</v>
      </c>
      <c r="I361" s="99">
        <v>0</v>
      </c>
      <c r="J361" s="99">
        <v>0</v>
      </c>
    </row>
    <row r="362" spans="1:10" ht="38.25" x14ac:dyDescent="0.2">
      <c r="A362" s="97" t="s">
        <v>376</v>
      </c>
      <c r="B362" s="118" t="s">
        <v>16</v>
      </c>
      <c r="C362" s="118" t="s">
        <v>329</v>
      </c>
      <c r="D362" s="99">
        <f>30000+450</f>
        <v>30450</v>
      </c>
      <c r="E362" s="99">
        <f t="shared" si="57"/>
        <v>30450</v>
      </c>
      <c r="F362" s="119">
        <f t="shared" si="58"/>
        <v>30450</v>
      </c>
      <c r="G362" s="99">
        <v>0</v>
      </c>
      <c r="H362" s="99">
        <v>0</v>
      </c>
      <c r="I362" s="99">
        <v>0</v>
      </c>
      <c r="J362" s="99">
        <v>0</v>
      </c>
    </row>
    <row r="363" spans="1:10" ht="24" customHeight="1" x14ac:dyDescent="0.2">
      <c r="A363" s="142" t="s">
        <v>377</v>
      </c>
      <c r="B363" s="118" t="s">
        <v>16</v>
      </c>
      <c r="C363" s="118" t="s">
        <v>329</v>
      </c>
      <c r="D363" s="99">
        <v>18850</v>
      </c>
      <c r="E363" s="99">
        <f t="shared" si="57"/>
        <v>18850</v>
      </c>
      <c r="F363" s="119">
        <f t="shared" si="58"/>
        <v>20600</v>
      </c>
      <c r="G363" s="99">
        <v>1750</v>
      </c>
      <c r="H363" s="99">
        <v>0</v>
      </c>
      <c r="I363" s="99">
        <v>0</v>
      </c>
      <c r="J363" s="99">
        <v>0</v>
      </c>
    </row>
    <row r="364" spans="1:10" ht="27.75" customHeight="1" x14ac:dyDescent="0.2">
      <c r="A364" s="97" t="s">
        <v>378</v>
      </c>
      <c r="B364" s="118" t="s">
        <v>16</v>
      </c>
      <c r="C364" s="118" t="s">
        <v>329</v>
      </c>
      <c r="D364" s="99">
        <v>5000</v>
      </c>
      <c r="E364" s="99">
        <f t="shared" si="57"/>
        <v>5000</v>
      </c>
      <c r="F364" s="119">
        <f>D364+G364+H364+I364+J364</f>
        <v>5000</v>
      </c>
      <c r="G364" s="99">
        <v>0</v>
      </c>
      <c r="H364" s="99">
        <v>0</v>
      </c>
      <c r="I364" s="99">
        <v>0</v>
      </c>
      <c r="J364" s="99">
        <v>0</v>
      </c>
    </row>
    <row r="365" spans="1:10" ht="28.5" customHeight="1" x14ac:dyDescent="0.2">
      <c r="A365" s="97" t="s">
        <v>379</v>
      </c>
      <c r="B365" s="118" t="s">
        <v>16</v>
      </c>
      <c r="C365" s="118" t="s">
        <v>329</v>
      </c>
      <c r="D365" s="99">
        <v>19360</v>
      </c>
      <c r="E365" s="99">
        <f t="shared" si="57"/>
        <v>19360</v>
      </c>
      <c r="F365" s="119">
        <f t="shared" si="58"/>
        <v>19360</v>
      </c>
      <c r="G365" s="99">
        <v>0</v>
      </c>
      <c r="H365" s="99">
        <v>0</v>
      </c>
      <c r="I365" s="99">
        <v>0</v>
      </c>
      <c r="J365" s="99">
        <v>0</v>
      </c>
    </row>
    <row r="366" spans="1:10" ht="42.75" customHeight="1" x14ac:dyDescent="0.2">
      <c r="A366" s="97" t="s">
        <v>380</v>
      </c>
      <c r="B366" s="118" t="s">
        <v>16</v>
      </c>
      <c r="C366" s="118" t="s">
        <v>329</v>
      </c>
      <c r="D366" s="99">
        <v>50000</v>
      </c>
      <c r="E366" s="99">
        <f t="shared" si="57"/>
        <v>50000</v>
      </c>
      <c r="F366" s="119">
        <f t="shared" si="58"/>
        <v>95000</v>
      </c>
      <c r="G366" s="99">
        <v>45000</v>
      </c>
      <c r="H366" s="99">
        <v>0</v>
      </c>
      <c r="I366" s="99">
        <v>0</v>
      </c>
      <c r="J366" s="99">
        <v>0</v>
      </c>
    </row>
    <row r="367" spans="1:10" ht="34.5" customHeight="1" x14ac:dyDescent="0.2">
      <c r="A367" s="97" t="s">
        <v>381</v>
      </c>
      <c r="B367" s="118" t="s">
        <v>16</v>
      </c>
      <c r="C367" s="118" t="s">
        <v>329</v>
      </c>
      <c r="D367" s="99">
        <f>1812000-1810000</f>
        <v>2000</v>
      </c>
      <c r="E367" s="99">
        <f t="shared" si="57"/>
        <v>2000</v>
      </c>
      <c r="F367" s="119">
        <f t="shared" si="58"/>
        <v>2812000</v>
      </c>
      <c r="G367" s="143">
        <f>1000000+1810000</f>
        <v>2810000</v>
      </c>
      <c r="H367" s="99">
        <v>0</v>
      </c>
      <c r="I367" s="99">
        <v>0</v>
      </c>
      <c r="J367" s="99">
        <v>0</v>
      </c>
    </row>
    <row r="368" spans="1:10" ht="24.75" customHeight="1" x14ac:dyDescent="0.2">
      <c r="A368" s="218" t="s">
        <v>382</v>
      </c>
      <c r="B368" s="218"/>
      <c r="C368" s="218"/>
      <c r="D368" s="114">
        <f>SUM(D315:D367)</f>
        <v>43279010</v>
      </c>
      <c r="E368" s="114">
        <f t="shared" ref="E368:J368" si="59">SUM(E315:E367)</f>
        <v>43279010</v>
      </c>
      <c r="F368" s="114">
        <f t="shared" si="59"/>
        <v>56324035</v>
      </c>
      <c r="G368" s="114">
        <f t="shared" si="59"/>
        <v>13045025</v>
      </c>
      <c r="H368" s="114">
        <f t="shared" si="59"/>
        <v>0</v>
      </c>
      <c r="I368" s="114">
        <f t="shared" si="59"/>
        <v>0</v>
      </c>
      <c r="J368" s="114">
        <f t="shared" si="59"/>
        <v>0</v>
      </c>
    </row>
    <row r="369" spans="1:17" ht="31.5" customHeight="1" x14ac:dyDescent="0.2">
      <c r="A369" s="219" t="s">
        <v>383</v>
      </c>
      <c r="B369" s="219"/>
      <c r="C369" s="219"/>
      <c r="D369" s="115">
        <v>91425</v>
      </c>
      <c r="E369" s="115">
        <f>D369</f>
        <v>91425</v>
      </c>
      <c r="F369" s="115">
        <f>E369+G369+H369</f>
        <v>99025</v>
      </c>
      <c r="G369" s="115">
        <v>7600</v>
      </c>
      <c r="H369" s="115"/>
      <c r="I369" s="115"/>
      <c r="J369" s="115"/>
    </row>
    <row r="370" spans="1:17" ht="20.100000000000001" customHeight="1" x14ac:dyDescent="0.2">
      <c r="A370" s="220" t="s">
        <v>384</v>
      </c>
      <c r="B370" s="220"/>
      <c r="C370" s="220"/>
      <c r="D370" s="116">
        <f>D369+D368</f>
        <v>43370435</v>
      </c>
      <c r="E370" s="116">
        <f t="shared" ref="E370:J370" si="60">E369+E368</f>
        <v>43370435</v>
      </c>
      <c r="F370" s="116">
        <f t="shared" si="60"/>
        <v>56423060</v>
      </c>
      <c r="G370" s="116">
        <f t="shared" si="60"/>
        <v>13052625</v>
      </c>
      <c r="H370" s="116">
        <f t="shared" si="60"/>
        <v>0</v>
      </c>
      <c r="I370" s="116">
        <f t="shared" si="60"/>
        <v>0</v>
      </c>
      <c r="J370" s="116">
        <f t="shared" si="60"/>
        <v>0</v>
      </c>
    </row>
    <row r="371" spans="1:17" ht="20.100000000000001" customHeight="1" x14ac:dyDescent="0.2">
      <c r="A371" s="221" t="s">
        <v>271</v>
      </c>
      <c r="B371" s="221"/>
      <c r="C371" s="221"/>
      <c r="D371" s="221"/>
      <c r="E371" s="221"/>
      <c r="F371" s="221"/>
      <c r="G371" s="221"/>
      <c r="H371" s="221"/>
      <c r="I371" s="221"/>
      <c r="J371" s="221"/>
    </row>
    <row r="372" spans="1:17" ht="24.75" customHeight="1" x14ac:dyDescent="0.2">
      <c r="A372" s="97" t="s">
        <v>385</v>
      </c>
      <c r="B372" s="118" t="s">
        <v>16</v>
      </c>
      <c r="C372" s="118" t="s">
        <v>386</v>
      </c>
      <c r="D372" s="99">
        <v>58643500</v>
      </c>
      <c r="E372" s="99">
        <f>D372</f>
        <v>58643500</v>
      </c>
      <c r="F372" s="119">
        <f>D372+G372+H372+I372+J372</f>
        <v>59886500</v>
      </c>
      <c r="G372" s="99">
        <v>1243000</v>
      </c>
      <c r="H372" s="99">
        <v>0</v>
      </c>
      <c r="I372" s="99">
        <v>0</v>
      </c>
      <c r="J372" s="99">
        <v>0</v>
      </c>
    </row>
    <row r="373" spans="1:17" ht="20.100000000000001" customHeight="1" x14ac:dyDescent="0.2">
      <c r="A373" s="218" t="s">
        <v>387</v>
      </c>
      <c r="B373" s="218"/>
      <c r="C373" s="218"/>
      <c r="D373" s="114">
        <f t="shared" ref="D373:J373" si="61">SUM(D372:D372)</f>
        <v>58643500</v>
      </c>
      <c r="E373" s="114">
        <f t="shared" si="61"/>
        <v>58643500</v>
      </c>
      <c r="F373" s="114">
        <f t="shared" si="61"/>
        <v>59886500</v>
      </c>
      <c r="G373" s="114">
        <f t="shared" si="61"/>
        <v>1243000</v>
      </c>
      <c r="H373" s="114">
        <f t="shared" si="61"/>
        <v>0</v>
      </c>
      <c r="I373" s="114">
        <f t="shared" si="61"/>
        <v>0</v>
      </c>
      <c r="J373" s="114">
        <f t="shared" si="61"/>
        <v>0</v>
      </c>
    </row>
    <row r="374" spans="1:17" ht="33.75" customHeight="1" x14ac:dyDescent="0.2">
      <c r="A374" s="219" t="s">
        <v>388</v>
      </c>
      <c r="B374" s="219"/>
      <c r="C374" s="219"/>
      <c r="D374" s="115">
        <v>500</v>
      </c>
      <c r="E374" s="115">
        <f>D374</f>
        <v>500</v>
      </c>
      <c r="F374" s="115">
        <f>D374</f>
        <v>500</v>
      </c>
      <c r="G374" s="115"/>
      <c r="H374" s="115"/>
      <c r="I374" s="115"/>
      <c r="J374" s="115"/>
    </row>
    <row r="375" spans="1:17" ht="20.100000000000001" customHeight="1" x14ac:dyDescent="0.2">
      <c r="A375" s="220" t="s">
        <v>389</v>
      </c>
      <c r="B375" s="220"/>
      <c r="C375" s="220"/>
      <c r="D375" s="116">
        <f>D374+D373</f>
        <v>58644000</v>
      </c>
      <c r="E375" s="116">
        <f t="shared" ref="E375:J375" si="62">E374+E373</f>
        <v>58644000</v>
      </c>
      <c r="F375" s="116">
        <f t="shared" si="62"/>
        <v>59887000</v>
      </c>
      <c r="G375" s="116">
        <f t="shared" si="62"/>
        <v>1243000</v>
      </c>
      <c r="H375" s="116">
        <f t="shared" si="62"/>
        <v>0</v>
      </c>
      <c r="I375" s="116">
        <f t="shared" si="62"/>
        <v>0</v>
      </c>
      <c r="J375" s="116">
        <f t="shared" si="62"/>
        <v>0</v>
      </c>
      <c r="M375" s="106" t="s">
        <v>390</v>
      </c>
    </row>
    <row r="376" spans="1:17" ht="26.25" customHeight="1" x14ac:dyDescent="0.2">
      <c r="A376" s="225" t="s">
        <v>391</v>
      </c>
      <c r="B376" s="225"/>
      <c r="C376" s="225"/>
      <c r="D376" s="144">
        <v>148100</v>
      </c>
      <c r="E376" s="145"/>
      <c r="F376" s="145"/>
      <c r="G376" s="145"/>
      <c r="H376" s="145"/>
      <c r="I376" s="145"/>
      <c r="J376" s="145"/>
      <c r="M376" s="108">
        <f>D298+D312+D369+D374</f>
        <v>182670</v>
      </c>
      <c r="O376" s="146" t="s">
        <v>392</v>
      </c>
      <c r="P376" s="2" t="s">
        <v>393</v>
      </c>
      <c r="Q376" s="147"/>
    </row>
    <row r="377" spans="1:17" ht="22.5" customHeight="1" x14ac:dyDescent="0.25">
      <c r="A377" s="226" t="s">
        <v>394</v>
      </c>
      <c r="B377" s="226"/>
      <c r="C377" s="226"/>
      <c r="D377" s="148">
        <v>1000000</v>
      </c>
      <c r="E377" s="148">
        <v>0</v>
      </c>
      <c r="F377" s="148">
        <v>0</v>
      </c>
      <c r="G377" s="149"/>
      <c r="H377" s="149"/>
      <c r="I377" s="149"/>
      <c r="J377" s="149"/>
      <c r="Q377" s="150"/>
    </row>
    <row r="378" spans="1:17" ht="15.75" x14ac:dyDescent="0.25">
      <c r="A378" s="226" t="s">
        <v>395</v>
      </c>
      <c r="B378" s="226"/>
      <c r="C378" s="226"/>
      <c r="D378" s="148">
        <v>55000</v>
      </c>
      <c r="E378" s="148">
        <v>0</v>
      </c>
      <c r="F378" s="148">
        <v>0</v>
      </c>
      <c r="G378" s="149"/>
      <c r="H378" s="149"/>
      <c r="I378" s="149"/>
      <c r="J378" s="149"/>
      <c r="Q378" s="150"/>
    </row>
    <row r="379" spans="1:17" ht="15.75" x14ac:dyDescent="0.25">
      <c r="A379" s="226" t="s">
        <v>396</v>
      </c>
      <c r="B379" s="226"/>
      <c r="C379" s="226"/>
      <c r="D379" s="148">
        <v>18000</v>
      </c>
      <c r="E379" s="148"/>
      <c r="F379" s="148"/>
      <c r="G379" s="149"/>
      <c r="H379" s="149"/>
      <c r="I379" s="149"/>
      <c r="J379" s="149"/>
      <c r="O379" s="146" t="s">
        <v>397</v>
      </c>
      <c r="P379" s="2" t="s">
        <v>398</v>
      </c>
      <c r="Q379" s="150"/>
    </row>
    <row r="380" spans="1:17" ht="15.75" x14ac:dyDescent="0.25">
      <c r="A380" s="226" t="s">
        <v>399</v>
      </c>
      <c r="B380" s="226"/>
      <c r="C380" s="226"/>
      <c r="D380" s="148">
        <v>0</v>
      </c>
      <c r="E380" s="148"/>
      <c r="F380" s="148"/>
      <c r="G380" s="149"/>
      <c r="H380" s="149"/>
      <c r="I380" s="149"/>
      <c r="J380" s="149"/>
      <c r="Q380" s="150"/>
    </row>
    <row r="381" spans="1:17" ht="20.100000000000001" customHeight="1" x14ac:dyDescent="0.25">
      <c r="A381" s="227" t="s">
        <v>400</v>
      </c>
      <c r="B381" s="227"/>
      <c r="C381" s="227"/>
      <c r="D381" s="151">
        <f t="shared" ref="D381:J381" si="63">D17+D25+D55+D58+D87+D91+D167+D205+D13</f>
        <v>88726142</v>
      </c>
      <c r="E381" s="151">
        <f t="shared" si="63"/>
        <v>88726142</v>
      </c>
      <c r="F381" s="151">
        <f t="shared" si="63"/>
        <v>441584637</v>
      </c>
      <c r="G381" s="151">
        <f t="shared" si="63"/>
        <v>274281245</v>
      </c>
      <c r="H381" s="151">
        <f t="shared" si="63"/>
        <v>78545250</v>
      </c>
      <c r="I381" s="151">
        <f t="shared" si="63"/>
        <v>16000</v>
      </c>
      <c r="J381" s="151">
        <f t="shared" si="63"/>
        <v>16000</v>
      </c>
    </row>
    <row r="382" spans="1:17" ht="29.25" customHeight="1" x14ac:dyDescent="0.25">
      <c r="A382" s="222" t="s">
        <v>401</v>
      </c>
      <c r="B382" s="223"/>
      <c r="C382" s="224"/>
      <c r="D382" s="151">
        <f t="shared" ref="D382:J382" si="64">D275+D258+D253+D248+D229+D219+D262</f>
        <v>9147410</v>
      </c>
      <c r="E382" s="151">
        <f t="shared" si="64"/>
        <v>9147410</v>
      </c>
      <c r="F382" s="151">
        <f t="shared" si="64"/>
        <v>304267695</v>
      </c>
      <c r="G382" s="151">
        <f t="shared" si="64"/>
        <v>113395547</v>
      </c>
      <c r="H382" s="151">
        <f t="shared" si="64"/>
        <v>152738855</v>
      </c>
      <c r="I382" s="151">
        <f t="shared" si="64"/>
        <v>14429811</v>
      </c>
      <c r="J382" s="151">
        <f t="shared" si="64"/>
        <v>15400072</v>
      </c>
    </row>
    <row r="383" spans="1:17" ht="29.25" customHeight="1" x14ac:dyDescent="0.25">
      <c r="A383" s="222" t="s">
        <v>402</v>
      </c>
      <c r="B383" s="223"/>
      <c r="C383" s="224"/>
      <c r="D383" s="152">
        <f t="shared" ref="D383:J383" si="65">D375+D370+D313+D299</f>
        <v>184597335</v>
      </c>
      <c r="E383" s="152">
        <f t="shared" si="65"/>
        <v>184597335</v>
      </c>
      <c r="F383" s="152">
        <f t="shared" si="65"/>
        <v>256615510</v>
      </c>
      <c r="G383" s="152">
        <f t="shared" si="65"/>
        <v>71958175</v>
      </c>
      <c r="H383" s="152">
        <f t="shared" si="65"/>
        <v>60000</v>
      </c>
      <c r="I383" s="152">
        <f t="shared" si="65"/>
        <v>0</v>
      </c>
      <c r="J383" s="152">
        <f t="shared" si="65"/>
        <v>0</v>
      </c>
    </row>
    <row r="384" spans="1:17" ht="20.100000000000001" customHeight="1" x14ac:dyDescent="0.25">
      <c r="A384" s="229" t="s">
        <v>403</v>
      </c>
      <c r="B384" s="230"/>
      <c r="C384" s="231"/>
      <c r="D384" s="152">
        <f>D376+D377+D378+D379+D380</f>
        <v>1221100</v>
      </c>
      <c r="E384" s="152">
        <f t="shared" ref="E384:J384" si="66">E377+E378</f>
        <v>0</v>
      </c>
      <c r="F384" s="152">
        <f t="shared" si="66"/>
        <v>0</v>
      </c>
      <c r="G384" s="152">
        <f t="shared" si="66"/>
        <v>0</v>
      </c>
      <c r="H384" s="152">
        <f t="shared" si="66"/>
        <v>0</v>
      </c>
      <c r="I384" s="152">
        <f t="shared" si="66"/>
        <v>0</v>
      </c>
      <c r="J384" s="152">
        <f t="shared" si="66"/>
        <v>0</v>
      </c>
    </row>
    <row r="385" spans="1:18" ht="24.95" customHeight="1" x14ac:dyDescent="0.25">
      <c r="A385" s="227" t="s">
        <v>404</v>
      </c>
      <c r="B385" s="227"/>
      <c r="C385" s="227"/>
      <c r="D385" s="151">
        <v>0</v>
      </c>
      <c r="E385" s="151"/>
      <c r="F385" s="151"/>
      <c r="G385" s="151"/>
      <c r="H385" s="151"/>
      <c r="I385" s="151"/>
      <c r="J385" s="151"/>
      <c r="L385" s="153">
        <v>6</v>
      </c>
    </row>
    <row r="386" spans="1:18" ht="24.95" customHeight="1" thickBot="1" x14ac:dyDescent="0.3">
      <c r="A386" s="232" t="s">
        <v>405</v>
      </c>
      <c r="B386" s="233"/>
      <c r="C386" s="234"/>
      <c r="D386" s="154">
        <f>D381+D382+D383+D384+D385</f>
        <v>283691987</v>
      </c>
      <c r="E386" s="154">
        <f t="shared" ref="E386:J386" si="67">E381+E382+E383+E384+E385</f>
        <v>282470887</v>
      </c>
      <c r="F386" s="154">
        <f t="shared" si="67"/>
        <v>1002467842</v>
      </c>
      <c r="G386" s="154">
        <f t="shared" si="67"/>
        <v>459634967</v>
      </c>
      <c r="H386" s="154">
        <f t="shared" si="67"/>
        <v>231344105</v>
      </c>
      <c r="I386" s="154">
        <f t="shared" si="67"/>
        <v>14445811</v>
      </c>
      <c r="J386" s="154">
        <f t="shared" si="67"/>
        <v>15416072</v>
      </c>
      <c r="L386" s="155">
        <f>D381+D382+D383+D384+D385</f>
        <v>283691987</v>
      </c>
      <c r="Q386" s="156" t="s">
        <v>406</v>
      </c>
    </row>
    <row r="387" spans="1:18" ht="20.100000000000001" customHeight="1" x14ac:dyDescent="0.25">
      <c r="A387" s="235" t="s">
        <v>407</v>
      </c>
      <c r="B387" s="236"/>
      <c r="C387" s="237"/>
      <c r="D387" s="157">
        <f>D13</f>
        <v>253800</v>
      </c>
      <c r="E387" s="238"/>
      <c r="F387" s="238"/>
      <c r="G387" s="238"/>
      <c r="H387" s="238"/>
      <c r="I387" s="238"/>
      <c r="J387" s="238"/>
      <c r="L387" s="158"/>
      <c r="O387" s="159" t="s">
        <v>408</v>
      </c>
      <c r="P387" s="160">
        <v>99580264</v>
      </c>
    </row>
    <row r="388" spans="1:18" ht="20.100000000000001" customHeight="1" x14ac:dyDescent="0.25">
      <c r="A388" s="239" t="s">
        <v>23</v>
      </c>
      <c r="B388" s="240"/>
      <c r="C388" s="241"/>
      <c r="D388" s="157">
        <f>D17</f>
        <v>0</v>
      </c>
      <c r="E388" s="238"/>
      <c r="F388" s="238"/>
      <c r="G388" s="238"/>
      <c r="H388" s="238"/>
      <c r="I388" s="238"/>
      <c r="J388" s="238"/>
      <c r="L388" s="158"/>
      <c r="O388" s="159" t="s">
        <v>409</v>
      </c>
      <c r="P388" s="160">
        <v>6197500</v>
      </c>
      <c r="Q388" s="161">
        <f>P388+P390</f>
        <v>8087910</v>
      </c>
    </row>
    <row r="389" spans="1:18" ht="20.100000000000001" customHeight="1" x14ac:dyDescent="0.25">
      <c r="A389" s="239" t="s">
        <v>410</v>
      </c>
      <c r="B389" s="240"/>
      <c r="C389" s="241"/>
      <c r="D389" s="162">
        <f>D376</f>
        <v>148100</v>
      </c>
      <c r="E389" s="238"/>
      <c r="F389" s="238"/>
      <c r="G389" s="238"/>
      <c r="H389" s="238"/>
      <c r="I389" s="238"/>
      <c r="J389" s="238"/>
      <c r="L389" s="158"/>
      <c r="O389" s="159" t="s">
        <v>411</v>
      </c>
      <c r="P389" s="160">
        <v>185021890</v>
      </c>
      <c r="Q389" s="161">
        <f>P389+P391</f>
        <v>185204560</v>
      </c>
    </row>
    <row r="390" spans="1:18" ht="20.100000000000001" customHeight="1" x14ac:dyDescent="0.25">
      <c r="A390" s="239" t="s">
        <v>412</v>
      </c>
      <c r="B390" s="240"/>
      <c r="C390" s="241"/>
      <c r="D390" s="162">
        <f>D55+D229+D299</f>
        <v>65217207</v>
      </c>
      <c r="E390" s="238"/>
      <c r="F390" s="238"/>
      <c r="G390" s="238"/>
      <c r="H390" s="238"/>
      <c r="I390" s="238"/>
      <c r="J390" s="238"/>
      <c r="L390" s="158"/>
      <c r="O390" s="159" t="s">
        <v>413</v>
      </c>
      <c r="P390" s="160">
        <f>M274</f>
        <v>1890410</v>
      </c>
    </row>
    <row r="391" spans="1:18" ht="20.100000000000001" customHeight="1" x14ac:dyDescent="0.25">
      <c r="A391" s="239" t="s">
        <v>59</v>
      </c>
      <c r="B391" s="240"/>
      <c r="C391" s="241"/>
      <c r="D391" s="162">
        <f>D377+D58</f>
        <v>1080500</v>
      </c>
      <c r="E391" s="238"/>
      <c r="F391" s="238"/>
      <c r="G391" s="238"/>
      <c r="H391" s="238"/>
      <c r="I391" s="238"/>
      <c r="J391" s="238"/>
      <c r="L391" s="158"/>
      <c r="O391" s="159" t="s">
        <v>414</v>
      </c>
      <c r="P391" s="160">
        <f>M376</f>
        <v>182670</v>
      </c>
    </row>
    <row r="392" spans="1:18" ht="20.100000000000001" customHeight="1" x14ac:dyDescent="0.25">
      <c r="A392" s="239" t="s">
        <v>415</v>
      </c>
      <c r="B392" s="240"/>
      <c r="C392" s="241"/>
      <c r="D392" s="162">
        <f>D313+D248+D87+D379+D378</f>
        <v>35074390</v>
      </c>
      <c r="E392" s="238"/>
      <c r="F392" s="238"/>
      <c r="G392" s="238"/>
      <c r="H392" s="238"/>
      <c r="I392" s="238"/>
      <c r="J392" s="238"/>
      <c r="L392" s="158"/>
      <c r="O392" s="159" t="s">
        <v>416</v>
      </c>
      <c r="P392" s="160">
        <f>D376</f>
        <v>148100</v>
      </c>
    </row>
    <row r="393" spans="1:18" ht="20.100000000000001" customHeight="1" x14ac:dyDescent="0.25">
      <c r="A393" s="239" t="s">
        <v>417</v>
      </c>
      <c r="B393" s="240"/>
      <c r="C393" s="241"/>
      <c r="D393" s="162">
        <f>D253+D91+D380</f>
        <v>2000</v>
      </c>
      <c r="E393" s="238"/>
      <c r="F393" s="238"/>
      <c r="G393" s="238"/>
      <c r="H393" s="238"/>
      <c r="I393" s="238"/>
      <c r="J393" s="238"/>
      <c r="L393" s="158"/>
      <c r="O393" s="159" t="s">
        <v>418</v>
      </c>
      <c r="P393" s="160">
        <f>D379</f>
        <v>18000</v>
      </c>
    </row>
    <row r="394" spans="1:18" ht="20.100000000000001" customHeight="1" thickBot="1" x14ac:dyDescent="0.3">
      <c r="A394" s="239" t="s">
        <v>419</v>
      </c>
      <c r="B394" s="240"/>
      <c r="C394" s="241"/>
      <c r="D394" s="162">
        <f>D370+D258+D167+D385</f>
        <v>89911030</v>
      </c>
      <c r="E394" s="238"/>
      <c r="F394" s="238"/>
      <c r="G394" s="238"/>
      <c r="H394" s="238"/>
      <c r="I394" s="238"/>
      <c r="J394" s="238"/>
      <c r="L394" s="158"/>
      <c r="O394" s="163"/>
      <c r="P394" s="164">
        <f>P387+P388+P389+P390+P391+P392+P393</f>
        <v>293038834</v>
      </c>
    </row>
    <row r="395" spans="1:18" ht="20.100000000000001" customHeight="1" x14ac:dyDescent="0.25">
      <c r="A395" s="239" t="s">
        <v>420</v>
      </c>
      <c r="B395" s="240"/>
      <c r="C395" s="241"/>
      <c r="D395" s="165">
        <f>D262</f>
        <v>0</v>
      </c>
      <c r="E395" s="238"/>
      <c r="F395" s="238"/>
      <c r="G395" s="238"/>
      <c r="H395" s="238"/>
      <c r="I395" s="238"/>
      <c r="J395" s="238"/>
      <c r="L395" s="158"/>
      <c r="P395" s="74">
        <f>P394-D386</f>
        <v>9346847</v>
      </c>
    </row>
    <row r="396" spans="1:18" ht="20.100000000000001" customHeight="1" thickBot="1" x14ac:dyDescent="0.3">
      <c r="A396" s="242" t="s">
        <v>421</v>
      </c>
      <c r="B396" s="243"/>
      <c r="C396" s="244"/>
      <c r="D396" s="166">
        <f>D375+D275+D205</f>
        <v>92004960</v>
      </c>
      <c r="E396" s="238"/>
      <c r="F396" s="238"/>
      <c r="G396" s="238"/>
      <c r="H396" s="238"/>
      <c r="I396" s="238"/>
      <c r="J396" s="238"/>
      <c r="L396" s="158"/>
      <c r="P396" s="74"/>
    </row>
    <row r="397" spans="1:18" ht="15.75" x14ac:dyDescent="0.2">
      <c r="A397" s="3"/>
      <c r="B397" s="3"/>
      <c r="C397" s="3"/>
      <c r="D397" s="167"/>
      <c r="E397" s="167"/>
      <c r="F397" s="167"/>
      <c r="J397" s="2"/>
      <c r="L397" s="155">
        <f>D387+D388+D389+D390+D391+D392+D393+D394+D395+D396</f>
        <v>283691987</v>
      </c>
    </row>
    <row r="398" spans="1:18" x14ac:dyDescent="0.2">
      <c r="A398" s="168" t="s">
        <v>422</v>
      </c>
      <c r="B398" s="169"/>
      <c r="C398" s="169"/>
      <c r="D398" s="169" t="s">
        <v>423</v>
      </c>
      <c r="E398" s="169"/>
      <c r="F398" s="169"/>
      <c r="G398" s="169" t="s">
        <v>424</v>
      </c>
      <c r="H398" s="169"/>
      <c r="I398" s="169" t="s">
        <v>425</v>
      </c>
      <c r="J398" s="169"/>
      <c r="L398" s="155">
        <f>L397-L386</f>
        <v>0</v>
      </c>
      <c r="O398" s="170" t="s">
        <v>426</v>
      </c>
      <c r="P398" s="89" t="s">
        <v>427</v>
      </c>
      <c r="Q398" s="89" t="s">
        <v>428</v>
      </c>
      <c r="R398" s="89" t="s">
        <v>429</v>
      </c>
    </row>
    <row r="399" spans="1:18" x14ac:dyDescent="0.2">
      <c r="A399" s="168" t="s">
        <v>430</v>
      </c>
      <c r="B399" s="169"/>
      <c r="C399" s="169"/>
      <c r="D399" s="169" t="s">
        <v>431</v>
      </c>
      <c r="E399" s="169"/>
      <c r="F399" s="169"/>
      <c r="G399" s="169" t="s">
        <v>432</v>
      </c>
      <c r="H399" s="169"/>
      <c r="I399" s="169" t="s">
        <v>433</v>
      </c>
      <c r="J399" s="169"/>
      <c r="O399" s="171">
        <f>Q399+R399</f>
        <v>133585500</v>
      </c>
      <c r="P399" s="89" t="s">
        <v>295</v>
      </c>
      <c r="Q399" s="172">
        <f>D311+D373+N288</f>
        <v>133537000</v>
      </c>
      <c r="R399" s="172">
        <f>D312+D374</f>
        <v>48500</v>
      </c>
    </row>
    <row r="400" spans="1:18" x14ac:dyDescent="0.2">
      <c r="A400" s="169"/>
      <c r="B400" s="169"/>
      <c r="C400" s="169"/>
      <c r="D400" s="169"/>
      <c r="E400" s="169"/>
      <c r="F400" s="169"/>
      <c r="G400" s="169"/>
      <c r="H400" s="169"/>
      <c r="I400" s="169"/>
      <c r="J400" s="169"/>
      <c r="O400" s="171">
        <f>Q400+R400</f>
        <v>67472835</v>
      </c>
      <c r="P400" s="89" t="s">
        <v>297</v>
      </c>
      <c r="Q400" s="172">
        <f>D297-D296+D368+N289</f>
        <v>67338665</v>
      </c>
      <c r="R400" s="172">
        <f>N285+D369</f>
        <v>134170</v>
      </c>
    </row>
    <row r="401" spans="1:18" x14ac:dyDescent="0.2">
      <c r="A401" s="245"/>
      <c r="B401" s="245"/>
      <c r="C401" s="245"/>
      <c r="D401" s="245"/>
      <c r="E401" s="245"/>
      <c r="F401" s="245"/>
      <c r="G401" s="228"/>
      <c r="H401" s="228"/>
      <c r="I401" s="228"/>
      <c r="J401" s="228"/>
      <c r="O401" s="173">
        <f>SUM(O399:O400)</f>
        <v>201058335</v>
      </c>
      <c r="P401" s="89"/>
      <c r="Q401" s="122">
        <f>SUM(Q399:Q400)</f>
        <v>200875665</v>
      </c>
      <c r="R401" s="122">
        <f>SUM(R399:R400)</f>
        <v>182670</v>
      </c>
    </row>
    <row r="402" spans="1:18" x14ac:dyDescent="0.2">
      <c r="A402" s="174"/>
      <c r="E402" s="146"/>
      <c r="F402" s="146"/>
      <c r="J402" s="2"/>
      <c r="O402" s="74">
        <f>O401-D383</f>
        <v>16461000</v>
      </c>
    </row>
    <row r="403" spans="1:18" x14ac:dyDescent="0.2">
      <c r="A403" s="174"/>
      <c r="B403" s="169"/>
      <c r="C403" s="169"/>
      <c r="F403" s="169"/>
      <c r="J403" s="2"/>
    </row>
    <row r="404" spans="1:18" x14ac:dyDescent="0.2">
      <c r="A404" s="174"/>
      <c r="E404" s="175"/>
      <c r="F404" s="55"/>
      <c r="J404" s="2"/>
    </row>
    <row r="405" spans="1:18" x14ac:dyDescent="0.2">
      <c r="A405" s="174"/>
      <c r="E405" s="175"/>
      <c r="F405" s="55"/>
      <c r="J405" s="2"/>
    </row>
    <row r="406" spans="1:18" x14ac:dyDescent="0.2">
      <c r="E406" s="175"/>
      <c r="F406" s="55"/>
      <c r="J406" s="2"/>
    </row>
    <row r="407" spans="1:18" x14ac:dyDescent="0.2">
      <c r="A407" s="174"/>
      <c r="E407" s="175"/>
      <c r="F407" s="55"/>
      <c r="J407" s="2"/>
    </row>
    <row r="408" spans="1:18" x14ac:dyDescent="0.2">
      <c r="A408" s="174"/>
      <c r="E408" s="176"/>
      <c r="J408" s="2"/>
    </row>
    <row r="409" spans="1:18" x14ac:dyDescent="0.2">
      <c r="J409" s="2"/>
    </row>
    <row r="410" spans="1:18" x14ac:dyDescent="0.2">
      <c r="F410" s="2" t="s">
        <v>434</v>
      </c>
      <c r="J410" s="2"/>
    </row>
    <row r="411" spans="1:18" x14ac:dyDescent="0.2">
      <c r="E411" s="2" t="s">
        <v>435</v>
      </c>
      <c r="G411" s="2" t="s">
        <v>436</v>
      </c>
      <c r="J411" s="176"/>
    </row>
    <row r="412" spans="1:18" x14ac:dyDescent="0.2">
      <c r="J412" s="2"/>
    </row>
    <row r="413" spans="1:18" x14ac:dyDescent="0.2">
      <c r="J413" s="2"/>
    </row>
    <row r="414" spans="1:18" x14ac:dyDescent="0.2">
      <c r="A414" s="177"/>
      <c r="H414" s="74"/>
      <c r="I414" s="74"/>
      <c r="J414" s="74"/>
    </row>
    <row r="415" spans="1:18" x14ac:dyDescent="0.2">
      <c r="A415" s="178"/>
      <c r="H415" s="74"/>
      <c r="I415" s="74"/>
      <c r="J415" s="74"/>
    </row>
    <row r="416" spans="1:18" x14ac:dyDescent="0.2">
      <c r="A416" s="178"/>
      <c r="H416" s="74"/>
      <c r="I416" s="74"/>
      <c r="J416" s="74"/>
    </row>
    <row r="417" spans="1:10" x14ac:dyDescent="0.2">
      <c r="A417" s="178"/>
      <c r="H417" s="74"/>
      <c r="I417" s="74"/>
      <c r="J417" s="74"/>
    </row>
    <row r="418" spans="1:10" x14ac:dyDescent="0.2">
      <c r="A418" s="177"/>
      <c r="J418" s="2"/>
    </row>
    <row r="419" spans="1:10" x14ac:dyDescent="0.2">
      <c r="A419" s="179"/>
      <c r="H419" s="74"/>
      <c r="I419" s="74"/>
      <c r="J419" s="74"/>
    </row>
    <row r="420" spans="1:10" x14ac:dyDescent="0.2">
      <c r="A420" s="179"/>
      <c r="H420" s="74"/>
      <c r="I420" s="74"/>
      <c r="J420" s="74"/>
    </row>
    <row r="421" spans="1:10" x14ac:dyDescent="0.2">
      <c r="A421" s="179"/>
      <c r="H421" s="74"/>
      <c r="I421" s="74"/>
      <c r="J421" s="74"/>
    </row>
    <row r="422" spans="1:10" x14ac:dyDescent="0.2">
      <c r="A422" s="178"/>
      <c r="B422" s="169"/>
      <c r="C422" s="169"/>
      <c r="D422" s="169"/>
      <c r="E422" s="169"/>
      <c r="F422" s="169"/>
      <c r="H422" s="74"/>
      <c r="I422" s="74"/>
      <c r="J422" s="74"/>
    </row>
    <row r="423" spans="1:10" x14ac:dyDescent="0.2">
      <c r="H423" s="74"/>
      <c r="I423" s="74"/>
      <c r="J423" s="74"/>
    </row>
    <row r="424" spans="1:10" x14ac:dyDescent="0.2">
      <c r="H424" s="74"/>
      <c r="I424" s="74"/>
      <c r="J424" s="74"/>
    </row>
    <row r="425" spans="1:10" x14ac:dyDescent="0.2">
      <c r="H425" s="74"/>
      <c r="I425" s="74"/>
      <c r="J425" s="74"/>
    </row>
    <row r="426" spans="1:10" x14ac:dyDescent="0.2">
      <c r="A426" s="55"/>
      <c r="H426" s="74"/>
      <c r="I426" s="74"/>
      <c r="J426" s="74"/>
    </row>
    <row r="427" spans="1:10" x14ac:dyDescent="0.2">
      <c r="A427" s="180"/>
      <c r="B427" s="169"/>
      <c r="H427" s="74"/>
      <c r="I427" s="74"/>
      <c r="J427" s="74"/>
    </row>
    <row r="428" spans="1:10" x14ac:dyDescent="0.2">
      <c r="H428" s="74"/>
      <c r="I428" s="74"/>
      <c r="J428" s="74"/>
    </row>
    <row r="429" spans="1:10" x14ac:dyDescent="0.2">
      <c r="J429" s="2"/>
    </row>
    <row r="430" spans="1:10" x14ac:dyDescent="0.2">
      <c r="E430" s="176"/>
      <c r="H430" s="74"/>
      <c r="I430" s="74"/>
      <c r="J430" s="74"/>
    </row>
    <row r="431" spans="1:10" x14ac:dyDescent="0.2">
      <c r="H431" s="74"/>
      <c r="I431" s="74"/>
      <c r="J431" s="74"/>
    </row>
    <row r="432" spans="1:10" x14ac:dyDescent="0.2">
      <c r="A432" s="168"/>
      <c r="B432" s="168"/>
      <c r="C432" s="168"/>
      <c r="D432" s="168"/>
      <c r="H432" s="74"/>
      <c r="I432" s="74"/>
      <c r="J432" s="74"/>
    </row>
    <row r="433" spans="1:10" x14ac:dyDescent="0.2">
      <c r="A433" s="180"/>
      <c r="D433" s="181"/>
      <c r="H433" s="74"/>
      <c r="I433" s="74"/>
      <c r="J433" s="74"/>
    </row>
    <row r="434" spans="1:10" x14ac:dyDescent="0.2">
      <c r="A434" s="74"/>
      <c r="D434" s="74"/>
      <c r="H434" s="74"/>
      <c r="I434" s="74"/>
      <c r="J434" s="74"/>
    </row>
    <row r="435" spans="1:10" x14ac:dyDescent="0.2">
      <c r="A435" s="74"/>
      <c r="D435" s="74"/>
      <c r="H435" s="74"/>
      <c r="I435" s="74"/>
      <c r="J435" s="74"/>
    </row>
    <row r="436" spans="1:10" x14ac:dyDescent="0.2">
      <c r="A436" s="74"/>
      <c r="D436" s="74"/>
      <c r="H436" s="74"/>
      <c r="I436" s="74"/>
      <c r="J436" s="74"/>
    </row>
    <row r="437" spans="1:10" x14ac:dyDescent="0.2">
      <c r="A437" s="74"/>
      <c r="D437" s="74"/>
      <c r="H437" s="74"/>
      <c r="I437" s="74"/>
      <c r="J437" s="74"/>
    </row>
    <row r="438" spans="1:10" x14ac:dyDescent="0.2">
      <c r="A438" s="74"/>
      <c r="D438" s="74"/>
      <c r="H438" s="74"/>
      <c r="I438" s="74"/>
      <c r="J438" s="74"/>
    </row>
    <row r="439" spans="1:10" x14ac:dyDescent="0.2">
      <c r="A439" s="74"/>
      <c r="D439" s="74"/>
      <c r="H439" s="74"/>
      <c r="I439" s="74"/>
      <c r="J439" s="74"/>
    </row>
    <row r="440" spans="1:10" x14ac:dyDescent="0.2">
      <c r="A440" s="74"/>
      <c r="H440" s="74"/>
      <c r="I440" s="74"/>
      <c r="J440" s="74"/>
    </row>
    <row r="441" spans="1:10" x14ac:dyDescent="0.2">
      <c r="A441" s="74"/>
      <c r="H441" s="74"/>
      <c r="I441" s="74"/>
      <c r="J441" s="74"/>
    </row>
    <row r="442" spans="1:10" x14ac:dyDescent="0.2">
      <c r="H442" s="74"/>
      <c r="I442" s="74"/>
      <c r="J442" s="74"/>
    </row>
    <row r="443" spans="1:10" x14ac:dyDescent="0.2">
      <c r="J443" s="2"/>
    </row>
    <row r="444" spans="1:10" x14ac:dyDescent="0.2">
      <c r="H444" s="74"/>
      <c r="I444" s="74"/>
      <c r="J444" s="74"/>
    </row>
    <row r="445" spans="1:10" x14ac:dyDescent="0.2">
      <c r="E445" s="55"/>
      <c r="H445" s="74"/>
      <c r="I445" s="74"/>
      <c r="J445" s="74"/>
    </row>
    <row r="446" spans="1:10" x14ac:dyDescent="0.2">
      <c r="H446" s="74"/>
      <c r="I446" s="74"/>
      <c r="J446" s="74"/>
    </row>
    <row r="447" spans="1:10" x14ac:dyDescent="0.2">
      <c r="H447" s="74"/>
      <c r="I447" s="74"/>
      <c r="J447" s="74"/>
    </row>
    <row r="448" spans="1:10" x14ac:dyDescent="0.2">
      <c r="H448" s="74"/>
      <c r="I448" s="74"/>
      <c r="J448" s="74"/>
    </row>
    <row r="449" spans="8:10" x14ac:dyDescent="0.2">
      <c r="H449" s="74"/>
      <c r="I449" s="74"/>
      <c r="J449" s="74"/>
    </row>
    <row r="450" spans="8:10" x14ac:dyDescent="0.2">
      <c r="H450" s="74"/>
      <c r="I450" s="74"/>
      <c r="J450" s="74"/>
    </row>
    <row r="451" spans="8:10" x14ac:dyDescent="0.2">
      <c r="J451" s="2"/>
    </row>
    <row r="452" spans="8:10" x14ac:dyDescent="0.2">
      <c r="H452" s="74"/>
      <c r="I452" s="74"/>
      <c r="J452" s="74"/>
    </row>
    <row r="453" spans="8:10" x14ac:dyDescent="0.2">
      <c r="H453" s="74"/>
      <c r="I453" s="74"/>
      <c r="J453" s="74"/>
    </row>
    <row r="454" spans="8:10" x14ac:dyDescent="0.2">
      <c r="H454" s="74"/>
      <c r="I454" s="74"/>
      <c r="J454" s="74"/>
    </row>
    <row r="455" spans="8:10" x14ac:dyDescent="0.2">
      <c r="H455" s="74"/>
      <c r="I455" s="74"/>
      <c r="J455" s="74"/>
    </row>
    <row r="456" spans="8:10" x14ac:dyDescent="0.2">
      <c r="H456" s="74"/>
      <c r="I456" s="74"/>
      <c r="J456" s="74"/>
    </row>
    <row r="457" spans="8:10" x14ac:dyDescent="0.2">
      <c r="H457" s="74"/>
      <c r="I457" s="74"/>
      <c r="J457" s="74"/>
    </row>
    <row r="458" spans="8:10" x14ac:dyDescent="0.2">
      <c r="H458" s="74"/>
      <c r="I458" s="74"/>
      <c r="J458" s="74"/>
    </row>
    <row r="459" spans="8:10" x14ac:dyDescent="0.2">
      <c r="H459" s="74"/>
      <c r="I459" s="74"/>
      <c r="J459" s="74"/>
    </row>
    <row r="460" spans="8:10" x14ac:dyDescent="0.2">
      <c r="H460" s="74"/>
      <c r="I460" s="74"/>
      <c r="J460" s="74"/>
    </row>
    <row r="461" spans="8:10" x14ac:dyDescent="0.2">
      <c r="H461" s="74"/>
      <c r="I461" s="74"/>
      <c r="J461" s="182"/>
    </row>
    <row r="462" spans="8:10" x14ac:dyDescent="0.2">
      <c r="H462" s="74"/>
      <c r="I462" s="74"/>
      <c r="J462" s="182"/>
    </row>
    <row r="463" spans="8:10" x14ac:dyDescent="0.2">
      <c r="H463" s="74"/>
      <c r="I463" s="74"/>
      <c r="J463" s="182"/>
    </row>
    <row r="464" spans="8:10" x14ac:dyDescent="0.2">
      <c r="H464" s="74"/>
      <c r="I464" s="74"/>
      <c r="J464" s="182"/>
    </row>
    <row r="465" spans="8:10" x14ac:dyDescent="0.2">
      <c r="H465" s="74"/>
      <c r="I465" s="74"/>
      <c r="J465" s="182"/>
    </row>
    <row r="466" spans="8:10" x14ac:dyDescent="0.2">
      <c r="H466" s="74"/>
      <c r="I466" s="74"/>
      <c r="J466" s="182"/>
    </row>
    <row r="467" spans="8:10" x14ac:dyDescent="0.2">
      <c r="H467" s="74"/>
      <c r="I467" s="74"/>
      <c r="J467" s="182"/>
    </row>
    <row r="468" spans="8:10" x14ac:dyDescent="0.2">
      <c r="H468" s="74"/>
      <c r="I468" s="74"/>
      <c r="J468" s="182"/>
    </row>
    <row r="469" spans="8:10" x14ac:dyDescent="0.2">
      <c r="H469" s="74"/>
      <c r="I469" s="74"/>
      <c r="J469" s="182"/>
    </row>
    <row r="470" spans="8:10" x14ac:dyDescent="0.2">
      <c r="H470" s="74"/>
      <c r="I470" s="74"/>
      <c r="J470" s="182"/>
    </row>
    <row r="471" spans="8:10" x14ac:dyDescent="0.2">
      <c r="H471" s="74"/>
      <c r="I471" s="74"/>
      <c r="J471" s="182"/>
    </row>
    <row r="472" spans="8:10" x14ac:dyDescent="0.2">
      <c r="H472" s="74"/>
      <c r="I472" s="74"/>
      <c r="J472" s="182"/>
    </row>
    <row r="473" spans="8:10" x14ac:dyDescent="0.2">
      <c r="H473" s="74"/>
      <c r="I473" s="74"/>
      <c r="J473" s="182"/>
    </row>
    <row r="474" spans="8:10" x14ac:dyDescent="0.2">
      <c r="H474" s="74"/>
      <c r="I474" s="74"/>
      <c r="J474" s="182"/>
    </row>
    <row r="475" spans="8:10" x14ac:dyDescent="0.2">
      <c r="H475" s="74"/>
      <c r="I475" s="74"/>
      <c r="J475" s="182"/>
    </row>
    <row r="476" spans="8:10" x14ac:dyDescent="0.2">
      <c r="H476" s="74"/>
      <c r="I476" s="74"/>
      <c r="J476" s="182"/>
    </row>
    <row r="477" spans="8:10" x14ac:dyDescent="0.2">
      <c r="H477" s="74"/>
      <c r="I477" s="74"/>
      <c r="J477" s="182"/>
    </row>
    <row r="478" spans="8:10" x14ac:dyDescent="0.2">
      <c r="H478" s="74"/>
      <c r="I478" s="74"/>
      <c r="J478" s="182"/>
    </row>
    <row r="479" spans="8:10" x14ac:dyDescent="0.2">
      <c r="H479" s="74"/>
      <c r="I479" s="74"/>
      <c r="J479" s="182"/>
    </row>
    <row r="480" spans="8:10" x14ac:dyDescent="0.2">
      <c r="H480" s="74"/>
      <c r="I480" s="74"/>
      <c r="J480" s="182"/>
    </row>
    <row r="481" spans="8:10" x14ac:dyDescent="0.2">
      <c r="H481" s="74"/>
      <c r="I481" s="74"/>
      <c r="J481" s="182"/>
    </row>
    <row r="482" spans="8:10" x14ac:dyDescent="0.2">
      <c r="H482" s="74"/>
      <c r="I482" s="74"/>
      <c r="J482" s="182"/>
    </row>
    <row r="483" spans="8:10" x14ac:dyDescent="0.2">
      <c r="H483" s="74"/>
      <c r="I483" s="74"/>
      <c r="J483" s="182"/>
    </row>
    <row r="484" spans="8:10" x14ac:dyDescent="0.2">
      <c r="H484" s="74"/>
      <c r="I484" s="74"/>
      <c r="J484" s="182"/>
    </row>
    <row r="485" spans="8:10" x14ac:dyDescent="0.2">
      <c r="H485" s="74"/>
      <c r="I485" s="74"/>
      <c r="J485" s="182"/>
    </row>
    <row r="486" spans="8:10" x14ac:dyDescent="0.2">
      <c r="H486" s="74"/>
      <c r="I486" s="74"/>
      <c r="J486" s="182"/>
    </row>
    <row r="487" spans="8:10" x14ac:dyDescent="0.2">
      <c r="H487" s="74"/>
      <c r="I487" s="74"/>
      <c r="J487" s="182"/>
    </row>
    <row r="488" spans="8:10" x14ac:dyDescent="0.2">
      <c r="H488" s="74"/>
      <c r="I488" s="74"/>
      <c r="J488" s="182"/>
    </row>
    <row r="489" spans="8:10" x14ac:dyDescent="0.2">
      <c r="H489" s="74"/>
      <c r="I489" s="74"/>
      <c r="J489" s="182"/>
    </row>
    <row r="490" spans="8:10" x14ac:dyDescent="0.2">
      <c r="H490" s="74"/>
      <c r="I490" s="74"/>
      <c r="J490" s="182"/>
    </row>
    <row r="491" spans="8:10" x14ac:dyDescent="0.2">
      <c r="H491" s="74"/>
      <c r="I491" s="74"/>
      <c r="J491" s="182"/>
    </row>
    <row r="492" spans="8:10" x14ac:dyDescent="0.2">
      <c r="H492" s="74"/>
      <c r="I492" s="74"/>
      <c r="J492" s="182"/>
    </row>
    <row r="493" spans="8:10" x14ac:dyDescent="0.2">
      <c r="H493" s="74"/>
      <c r="I493" s="74"/>
      <c r="J493" s="182"/>
    </row>
    <row r="494" spans="8:10" x14ac:dyDescent="0.2">
      <c r="H494" s="74"/>
      <c r="I494" s="74"/>
      <c r="J494" s="182"/>
    </row>
    <row r="495" spans="8:10" x14ac:dyDescent="0.2">
      <c r="H495" s="74"/>
      <c r="I495" s="74"/>
      <c r="J495" s="182"/>
    </row>
    <row r="496" spans="8:10" x14ac:dyDescent="0.2">
      <c r="H496" s="74"/>
      <c r="I496" s="74"/>
      <c r="J496" s="182"/>
    </row>
    <row r="497" spans="8:10" x14ac:dyDescent="0.2">
      <c r="H497" s="74"/>
      <c r="I497" s="74"/>
      <c r="J497" s="182"/>
    </row>
    <row r="498" spans="8:10" x14ac:dyDescent="0.2">
      <c r="H498" s="74"/>
      <c r="I498" s="74"/>
      <c r="J498" s="182"/>
    </row>
    <row r="500" spans="8:10" x14ac:dyDescent="0.2">
      <c r="H500" s="74"/>
      <c r="I500" s="74"/>
      <c r="J500" s="182"/>
    </row>
    <row r="501" spans="8:10" x14ac:dyDescent="0.2">
      <c r="H501" s="74"/>
      <c r="I501" s="74"/>
      <c r="J501" s="182"/>
    </row>
    <row r="503" spans="8:10" x14ac:dyDescent="0.2">
      <c r="H503" s="74"/>
      <c r="I503" s="74"/>
      <c r="J503" s="182"/>
    </row>
    <row r="504" spans="8:10" x14ac:dyDescent="0.2">
      <c r="H504" s="74"/>
      <c r="I504" s="74"/>
      <c r="J504" s="182"/>
    </row>
    <row r="505" spans="8:10" x14ac:dyDescent="0.2">
      <c r="H505" s="74"/>
      <c r="I505" s="74"/>
      <c r="J505" s="182"/>
    </row>
    <row r="506" spans="8:10" x14ac:dyDescent="0.2">
      <c r="H506" s="74"/>
      <c r="I506" s="74"/>
      <c r="J506" s="182"/>
    </row>
    <row r="507" spans="8:10" x14ac:dyDescent="0.2">
      <c r="H507" s="74"/>
      <c r="I507" s="74"/>
      <c r="J507" s="182"/>
    </row>
    <row r="508" spans="8:10" x14ac:dyDescent="0.2">
      <c r="H508" s="74"/>
      <c r="I508" s="74"/>
      <c r="J508" s="182"/>
    </row>
    <row r="509" spans="8:10" x14ac:dyDescent="0.2">
      <c r="H509" s="74"/>
      <c r="I509" s="74"/>
      <c r="J509" s="182"/>
    </row>
    <row r="510" spans="8:10" x14ac:dyDescent="0.2">
      <c r="H510" s="74"/>
      <c r="I510" s="74"/>
      <c r="J510" s="182"/>
    </row>
    <row r="511" spans="8:10" x14ac:dyDescent="0.2">
      <c r="H511" s="74"/>
      <c r="I511" s="74"/>
      <c r="J511" s="182"/>
    </row>
    <row r="512" spans="8:10" x14ac:dyDescent="0.2">
      <c r="H512" s="74"/>
      <c r="I512" s="74"/>
      <c r="J512" s="182"/>
    </row>
    <row r="513" spans="8:10" x14ac:dyDescent="0.2">
      <c r="H513" s="74"/>
      <c r="I513" s="74"/>
      <c r="J513" s="182"/>
    </row>
    <row r="514" spans="8:10" x14ac:dyDescent="0.2">
      <c r="H514" s="74"/>
      <c r="I514" s="74"/>
      <c r="J514" s="182"/>
    </row>
    <row r="515" spans="8:10" x14ac:dyDescent="0.2">
      <c r="H515" s="74"/>
      <c r="I515" s="74"/>
      <c r="J515" s="182"/>
    </row>
    <row r="516" spans="8:10" x14ac:dyDescent="0.2">
      <c r="H516" s="74"/>
      <c r="I516" s="74"/>
      <c r="J516" s="182"/>
    </row>
    <row r="517" spans="8:10" x14ac:dyDescent="0.2">
      <c r="H517" s="74"/>
      <c r="I517" s="74"/>
      <c r="J517" s="182"/>
    </row>
    <row r="518" spans="8:10" x14ac:dyDescent="0.2">
      <c r="H518" s="74"/>
      <c r="I518" s="74"/>
      <c r="J518" s="182"/>
    </row>
    <row r="519" spans="8:10" x14ac:dyDescent="0.2">
      <c r="H519" s="74"/>
      <c r="I519" s="74"/>
      <c r="J519" s="182"/>
    </row>
    <row r="520" spans="8:10" x14ac:dyDescent="0.2">
      <c r="H520" s="74"/>
      <c r="I520" s="74"/>
      <c r="J520" s="182"/>
    </row>
    <row r="521" spans="8:10" x14ac:dyDescent="0.2">
      <c r="H521" s="74"/>
      <c r="I521" s="74"/>
      <c r="J521" s="182"/>
    </row>
    <row r="522" spans="8:10" x14ac:dyDescent="0.2">
      <c r="H522" s="74"/>
      <c r="I522" s="74"/>
      <c r="J522" s="182"/>
    </row>
    <row r="523" spans="8:10" x14ac:dyDescent="0.2">
      <c r="H523" s="74"/>
      <c r="I523" s="74"/>
      <c r="J523" s="182"/>
    </row>
    <row r="524" spans="8:10" x14ac:dyDescent="0.2">
      <c r="H524" s="74"/>
      <c r="I524" s="74"/>
      <c r="J524" s="182"/>
    </row>
    <row r="525" spans="8:10" x14ac:dyDescent="0.2">
      <c r="H525" s="74"/>
      <c r="I525" s="74"/>
      <c r="J525" s="182"/>
    </row>
    <row r="526" spans="8:10" x14ac:dyDescent="0.2">
      <c r="H526" s="74"/>
      <c r="I526" s="74"/>
      <c r="J526" s="182"/>
    </row>
    <row r="527" spans="8:10" x14ac:dyDescent="0.2">
      <c r="H527" s="74"/>
      <c r="I527" s="74"/>
      <c r="J527" s="182"/>
    </row>
    <row r="528" spans="8:10" x14ac:dyDescent="0.2">
      <c r="H528" s="74"/>
      <c r="I528" s="74"/>
      <c r="J528" s="182"/>
    </row>
    <row r="529" spans="8:10" x14ac:dyDescent="0.2">
      <c r="H529" s="74"/>
      <c r="I529" s="74"/>
      <c r="J529" s="182"/>
    </row>
    <row r="530" spans="8:10" x14ac:dyDescent="0.2">
      <c r="H530" s="74"/>
      <c r="I530" s="74"/>
      <c r="J530" s="182"/>
    </row>
    <row r="531" spans="8:10" x14ac:dyDescent="0.2">
      <c r="H531" s="74"/>
      <c r="I531" s="74"/>
      <c r="J531" s="182"/>
    </row>
    <row r="532" spans="8:10" x14ac:dyDescent="0.2">
      <c r="H532" s="74"/>
      <c r="I532" s="74"/>
      <c r="J532" s="182"/>
    </row>
    <row r="533" spans="8:10" x14ac:dyDescent="0.2">
      <c r="H533" s="74"/>
      <c r="I533" s="74"/>
      <c r="J533" s="182"/>
    </row>
    <row r="534" spans="8:10" x14ac:dyDescent="0.2">
      <c r="H534" s="74"/>
      <c r="I534" s="74"/>
      <c r="J534" s="182"/>
    </row>
    <row r="535" spans="8:10" x14ac:dyDescent="0.2">
      <c r="H535" s="74"/>
      <c r="I535" s="74"/>
      <c r="J535" s="182"/>
    </row>
    <row r="536" spans="8:10" x14ac:dyDescent="0.2">
      <c r="H536" s="74"/>
      <c r="I536" s="74"/>
      <c r="J536" s="182"/>
    </row>
    <row r="537" spans="8:10" x14ac:dyDescent="0.2">
      <c r="H537" s="74"/>
      <c r="I537" s="74"/>
      <c r="J537" s="182"/>
    </row>
    <row r="538" spans="8:10" x14ac:dyDescent="0.2">
      <c r="H538" s="74"/>
      <c r="I538" s="74"/>
      <c r="J538" s="182"/>
    </row>
    <row r="539" spans="8:10" x14ac:dyDescent="0.2">
      <c r="H539" s="74"/>
      <c r="I539" s="74"/>
      <c r="J539" s="182"/>
    </row>
    <row r="540" spans="8:10" x14ac:dyDescent="0.2">
      <c r="H540" s="74"/>
      <c r="I540" s="74"/>
      <c r="J540" s="182"/>
    </row>
    <row r="541" spans="8:10" x14ac:dyDescent="0.2">
      <c r="H541" s="74"/>
      <c r="I541" s="74"/>
      <c r="J541" s="182"/>
    </row>
    <row r="542" spans="8:10" x14ac:dyDescent="0.2">
      <c r="H542" s="74"/>
      <c r="I542" s="74"/>
      <c r="J542" s="182"/>
    </row>
    <row r="543" spans="8:10" x14ac:dyDescent="0.2">
      <c r="H543" s="74"/>
      <c r="I543" s="74"/>
      <c r="J543" s="182"/>
    </row>
    <row r="544" spans="8:10" x14ac:dyDescent="0.2">
      <c r="H544" s="74"/>
      <c r="I544" s="74"/>
      <c r="J544" s="182"/>
    </row>
    <row r="545" spans="8:10" x14ac:dyDescent="0.2">
      <c r="H545" s="74"/>
      <c r="I545" s="74"/>
      <c r="J545" s="182"/>
    </row>
    <row r="546" spans="8:10" x14ac:dyDescent="0.2">
      <c r="H546" s="74"/>
      <c r="I546" s="74"/>
      <c r="J546" s="182"/>
    </row>
    <row r="547" spans="8:10" x14ac:dyDescent="0.2">
      <c r="H547" s="74"/>
      <c r="I547" s="74"/>
      <c r="J547" s="182"/>
    </row>
    <row r="548" spans="8:10" x14ac:dyDescent="0.2">
      <c r="H548" s="74"/>
      <c r="I548" s="74"/>
      <c r="J548" s="182"/>
    </row>
    <row r="549" spans="8:10" x14ac:dyDescent="0.2">
      <c r="H549" s="74"/>
      <c r="I549" s="74"/>
      <c r="J549" s="182"/>
    </row>
    <row r="550" spans="8:10" x14ac:dyDescent="0.2">
      <c r="H550" s="74"/>
      <c r="I550" s="74"/>
      <c r="J550" s="182"/>
    </row>
    <row r="551" spans="8:10" x14ac:dyDescent="0.2">
      <c r="H551" s="74"/>
      <c r="I551" s="74"/>
      <c r="J551" s="182"/>
    </row>
    <row r="552" spans="8:10" x14ac:dyDescent="0.2">
      <c r="H552" s="74"/>
      <c r="I552" s="74"/>
      <c r="J552" s="182"/>
    </row>
    <row r="553" spans="8:10" x14ac:dyDescent="0.2">
      <c r="H553" s="74"/>
      <c r="I553" s="74"/>
      <c r="J553" s="182"/>
    </row>
    <row r="554" spans="8:10" x14ac:dyDescent="0.2">
      <c r="H554" s="74"/>
      <c r="I554" s="74"/>
      <c r="J554" s="182"/>
    </row>
    <row r="555" spans="8:10" x14ac:dyDescent="0.2">
      <c r="H555" s="74"/>
      <c r="I555" s="74"/>
      <c r="J555" s="182"/>
    </row>
    <row r="556" spans="8:10" x14ac:dyDescent="0.2">
      <c r="J556" s="182"/>
    </row>
    <row r="557" spans="8:10" x14ac:dyDescent="0.2">
      <c r="H557" s="74"/>
      <c r="I557" s="74"/>
      <c r="J557" s="182"/>
    </row>
    <row r="558" spans="8:10" x14ac:dyDescent="0.2">
      <c r="H558" s="74"/>
      <c r="I558" s="74"/>
      <c r="J558" s="182"/>
    </row>
    <row r="559" spans="8:10" x14ac:dyDescent="0.2">
      <c r="H559" s="74"/>
      <c r="I559" s="74"/>
      <c r="J559" s="182"/>
    </row>
    <row r="560" spans="8:10" x14ac:dyDescent="0.2">
      <c r="H560" s="74"/>
      <c r="I560" s="74"/>
      <c r="J560" s="182"/>
    </row>
    <row r="561" spans="8:10" x14ac:dyDescent="0.2">
      <c r="H561" s="74"/>
      <c r="I561" s="74"/>
      <c r="J561" s="182"/>
    </row>
    <row r="562" spans="8:10" x14ac:dyDescent="0.2">
      <c r="H562" s="74"/>
      <c r="I562" s="74"/>
      <c r="J562" s="182"/>
    </row>
    <row r="563" spans="8:10" x14ac:dyDescent="0.2">
      <c r="H563" s="74"/>
      <c r="I563" s="74"/>
      <c r="J563" s="182"/>
    </row>
    <row r="564" spans="8:10" x14ac:dyDescent="0.2">
      <c r="H564" s="74"/>
      <c r="I564" s="74"/>
      <c r="J564" s="182"/>
    </row>
    <row r="565" spans="8:10" x14ac:dyDescent="0.2">
      <c r="H565" s="74"/>
      <c r="I565" s="74"/>
      <c r="J565" s="182"/>
    </row>
    <row r="566" spans="8:10" x14ac:dyDescent="0.2">
      <c r="H566" s="74"/>
      <c r="I566" s="74"/>
      <c r="J566" s="182"/>
    </row>
    <row r="567" spans="8:10" x14ac:dyDescent="0.2">
      <c r="J567" s="182"/>
    </row>
    <row r="568" spans="8:10" x14ac:dyDescent="0.2">
      <c r="H568" s="74"/>
      <c r="I568" s="74"/>
      <c r="J568" s="182"/>
    </row>
    <row r="569" spans="8:10" x14ac:dyDescent="0.2">
      <c r="H569" s="74"/>
      <c r="I569" s="74"/>
      <c r="J569" s="182"/>
    </row>
    <row r="570" spans="8:10" x14ac:dyDescent="0.2">
      <c r="H570" s="74"/>
      <c r="I570" s="74"/>
      <c r="J570" s="182"/>
    </row>
    <row r="571" spans="8:10" x14ac:dyDescent="0.2">
      <c r="H571" s="74"/>
      <c r="I571" s="74"/>
      <c r="J571" s="182"/>
    </row>
    <row r="572" spans="8:10" x14ac:dyDescent="0.2">
      <c r="H572" s="74"/>
      <c r="I572" s="74"/>
      <c r="J572" s="182"/>
    </row>
    <row r="573" spans="8:10" x14ac:dyDescent="0.2">
      <c r="H573" s="74"/>
      <c r="I573" s="74"/>
      <c r="J573" s="182"/>
    </row>
    <row r="574" spans="8:10" x14ac:dyDescent="0.2">
      <c r="H574" s="74"/>
      <c r="I574" s="74"/>
      <c r="J574" s="182"/>
    </row>
    <row r="575" spans="8:10" x14ac:dyDescent="0.2">
      <c r="H575" s="74"/>
      <c r="I575" s="74"/>
      <c r="J575" s="182"/>
    </row>
    <row r="576" spans="8:10" x14ac:dyDescent="0.2">
      <c r="H576" s="74"/>
      <c r="I576" s="74"/>
      <c r="J576" s="182"/>
    </row>
    <row r="577" spans="8:10" x14ac:dyDescent="0.2">
      <c r="H577" s="74"/>
      <c r="I577" s="74"/>
      <c r="J577" s="182"/>
    </row>
    <row r="578" spans="8:10" x14ac:dyDescent="0.2">
      <c r="H578" s="74"/>
      <c r="I578" s="74"/>
      <c r="J578" s="182"/>
    </row>
    <row r="579" spans="8:10" x14ac:dyDescent="0.2">
      <c r="H579" s="74"/>
      <c r="I579" s="74"/>
      <c r="J579" s="182"/>
    </row>
    <row r="580" spans="8:10" x14ac:dyDescent="0.2">
      <c r="H580" s="74"/>
      <c r="I580" s="74"/>
      <c r="J580" s="182"/>
    </row>
    <row r="581" spans="8:10" x14ac:dyDescent="0.2">
      <c r="H581" s="74"/>
      <c r="I581" s="74"/>
      <c r="J581" s="182"/>
    </row>
    <row r="582" spans="8:10" x14ac:dyDescent="0.2">
      <c r="H582" s="74"/>
      <c r="I582" s="74"/>
      <c r="J582" s="182"/>
    </row>
    <row r="583" spans="8:10" x14ac:dyDescent="0.2">
      <c r="H583" s="74"/>
      <c r="I583" s="74"/>
      <c r="J583" s="182"/>
    </row>
    <row r="584" spans="8:10" x14ac:dyDescent="0.2">
      <c r="H584" s="74"/>
      <c r="I584" s="74"/>
      <c r="J584" s="182"/>
    </row>
    <row r="585" spans="8:10" x14ac:dyDescent="0.2">
      <c r="H585" s="74"/>
      <c r="I585" s="74"/>
      <c r="J585" s="182"/>
    </row>
    <row r="586" spans="8:10" x14ac:dyDescent="0.2">
      <c r="H586" s="74"/>
      <c r="I586" s="74"/>
      <c r="J586" s="182"/>
    </row>
    <row r="587" spans="8:10" x14ac:dyDescent="0.2">
      <c r="H587" s="74"/>
      <c r="I587" s="74"/>
      <c r="J587" s="182"/>
    </row>
    <row r="588" spans="8:10" x14ac:dyDescent="0.2">
      <c r="H588" s="74"/>
      <c r="I588" s="74"/>
      <c r="J588" s="182"/>
    </row>
    <row r="589" spans="8:10" x14ac:dyDescent="0.2">
      <c r="H589" s="74"/>
      <c r="I589" s="74"/>
      <c r="J589" s="182"/>
    </row>
    <row r="590" spans="8:10" x14ac:dyDescent="0.2">
      <c r="H590" s="74"/>
      <c r="I590" s="74"/>
      <c r="J590" s="182"/>
    </row>
    <row r="591" spans="8:10" x14ac:dyDescent="0.2">
      <c r="H591" s="74"/>
      <c r="I591" s="74"/>
      <c r="J591" s="182"/>
    </row>
    <row r="592" spans="8:10" x14ac:dyDescent="0.2">
      <c r="H592" s="74"/>
      <c r="I592" s="74"/>
      <c r="J592" s="182"/>
    </row>
    <row r="593" spans="8:10" x14ac:dyDescent="0.2">
      <c r="H593" s="74"/>
      <c r="I593" s="74"/>
      <c r="J593" s="182"/>
    </row>
    <row r="594" spans="8:10" x14ac:dyDescent="0.2">
      <c r="H594" s="74"/>
      <c r="I594" s="74"/>
      <c r="J594" s="182"/>
    </row>
    <row r="595" spans="8:10" x14ac:dyDescent="0.2">
      <c r="H595" s="74"/>
      <c r="I595" s="74"/>
      <c r="J595" s="182"/>
    </row>
    <row r="596" spans="8:10" x14ac:dyDescent="0.2">
      <c r="H596" s="74"/>
      <c r="I596" s="74"/>
      <c r="J596" s="182"/>
    </row>
    <row r="597" spans="8:10" x14ac:dyDescent="0.2">
      <c r="H597" s="74"/>
      <c r="I597" s="74"/>
      <c r="J597" s="182"/>
    </row>
    <row r="598" spans="8:10" x14ac:dyDescent="0.2">
      <c r="H598" s="74"/>
      <c r="I598" s="74"/>
      <c r="J598" s="182"/>
    </row>
    <row r="599" spans="8:10" x14ac:dyDescent="0.2">
      <c r="H599" s="74"/>
      <c r="I599" s="74"/>
      <c r="J599" s="182"/>
    </row>
    <row r="600" spans="8:10" x14ac:dyDescent="0.2">
      <c r="H600" s="74"/>
      <c r="I600" s="74"/>
      <c r="J600" s="182"/>
    </row>
    <row r="601" spans="8:10" x14ac:dyDescent="0.2">
      <c r="H601" s="74"/>
      <c r="I601" s="74"/>
      <c r="J601" s="182"/>
    </row>
    <row r="603" spans="8:10" x14ac:dyDescent="0.2">
      <c r="H603" s="74"/>
      <c r="I603" s="74"/>
      <c r="J603" s="182"/>
    </row>
    <row r="604" spans="8:10" x14ac:dyDescent="0.2">
      <c r="H604" s="74"/>
      <c r="I604" s="74"/>
      <c r="J604" s="182"/>
    </row>
    <row r="605" spans="8:10" x14ac:dyDescent="0.2">
      <c r="H605" s="74"/>
      <c r="I605" s="74"/>
      <c r="J605" s="182"/>
    </row>
    <row r="606" spans="8:10" x14ac:dyDescent="0.2">
      <c r="H606" s="74"/>
      <c r="I606" s="74"/>
      <c r="J606" s="182"/>
    </row>
    <row r="608" spans="8:10" x14ac:dyDescent="0.2">
      <c r="J608" s="182"/>
    </row>
    <row r="609" spans="8:10" x14ac:dyDescent="0.2">
      <c r="J609" s="182"/>
    </row>
    <row r="610" spans="8:10" x14ac:dyDescent="0.2">
      <c r="J610" s="182"/>
    </row>
    <row r="611" spans="8:10" x14ac:dyDescent="0.2">
      <c r="J611" s="182"/>
    </row>
    <row r="612" spans="8:10" x14ac:dyDescent="0.2">
      <c r="J612" s="182"/>
    </row>
    <row r="613" spans="8:10" x14ac:dyDescent="0.2">
      <c r="J613" s="182"/>
    </row>
    <row r="614" spans="8:10" x14ac:dyDescent="0.2">
      <c r="H614" s="74"/>
      <c r="I614" s="74"/>
      <c r="J614" s="182"/>
    </row>
    <row r="615" spans="8:10" x14ac:dyDescent="0.2">
      <c r="H615" s="74"/>
      <c r="I615" s="74"/>
      <c r="J615" s="182"/>
    </row>
    <row r="616" spans="8:10" x14ac:dyDescent="0.2">
      <c r="J616" s="182"/>
    </row>
    <row r="617" spans="8:10" x14ac:dyDescent="0.2">
      <c r="J617" s="182"/>
    </row>
    <row r="618" spans="8:10" x14ac:dyDescent="0.2">
      <c r="J618" s="182"/>
    </row>
    <row r="619" spans="8:10" x14ac:dyDescent="0.2">
      <c r="J619" s="182"/>
    </row>
    <row r="620" spans="8:10" x14ac:dyDescent="0.2">
      <c r="J620" s="182"/>
    </row>
    <row r="621" spans="8:10" x14ac:dyDescent="0.2">
      <c r="H621" s="74"/>
      <c r="I621" s="74"/>
      <c r="J621" s="182"/>
    </row>
    <row r="622" spans="8:10" x14ac:dyDescent="0.2">
      <c r="H622" s="74"/>
      <c r="I622" s="74"/>
      <c r="J622" s="182"/>
    </row>
    <row r="623" spans="8:10" x14ac:dyDescent="0.2">
      <c r="H623" s="74"/>
      <c r="I623" s="74"/>
      <c r="J623" s="182"/>
    </row>
    <row r="625" spans="8:10" x14ac:dyDescent="0.2">
      <c r="H625" s="74"/>
      <c r="I625" s="74"/>
      <c r="J625" s="182"/>
    </row>
    <row r="626" spans="8:10" x14ac:dyDescent="0.2">
      <c r="H626" s="74"/>
      <c r="I626" s="74"/>
      <c r="J626" s="182"/>
    </row>
    <row r="627" spans="8:10" x14ac:dyDescent="0.2">
      <c r="H627" s="74"/>
      <c r="I627" s="74"/>
      <c r="J627" s="182"/>
    </row>
    <row r="628" spans="8:10" x14ac:dyDescent="0.2">
      <c r="H628" s="74"/>
      <c r="I628" s="74"/>
      <c r="J628" s="182"/>
    </row>
    <row r="629" spans="8:10" x14ac:dyDescent="0.2">
      <c r="H629" s="74"/>
      <c r="I629" s="74"/>
      <c r="J629" s="182"/>
    </row>
    <row r="630" spans="8:10" x14ac:dyDescent="0.2">
      <c r="H630" s="74"/>
      <c r="I630" s="74"/>
      <c r="J630" s="182"/>
    </row>
    <row r="631" spans="8:10" x14ac:dyDescent="0.2">
      <c r="J631" s="182"/>
    </row>
    <row r="632" spans="8:10" x14ac:dyDescent="0.2">
      <c r="J632" s="182"/>
    </row>
    <row r="633" spans="8:10" x14ac:dyDescent="0.2">
      <c r="J633" s="182"/>
    </row>
    <row r="634" spans="8:10" x14ac:dyDescent="0.2">
      <c r="J634" s="182"/>
    </row>
    <row r="635" spans="8:10" x14ac:dyDescent="0.2">
      <c r="J635" s="182"/>
    </row>
    <row r="636" spans="8:10" x14ac:dyDescent="0.2">
      <c r="J636" s="182"/>
    </row>
    <row r="637" spans="8:10" x14ac:dyDescent="0.2">
      <c r="H637" s="74"/>
      <c r="I637" s="74"/>
      <c r="J637" s="182"/>
    </row>
    <row r="638" spans="8:10" x14ac:dyDescent="0.2">
      <c r="H638" s="74"/>
      <c r="I638" s="74"/>
      <c r="J638" s="182"/>
    </row>
    <row r="639" spans="8:10" x14ac:dyDescent="0.2">
      <c r="H639" s="74"/>
      <c r="I639" s="74"/>
      <c r="J639" s="182"/>
    </row>
    <row r="641" spans="5:10" x14ac:dyDescent="0.2">
      <c r="J641" s="182"/>
    </row>
    <row r="642" spans="5:10" x14ac:dyDescent="0.2">
      <c r="J642" s="182"/>
    </row>
    <row r="643" spans="5:10" x14ac:dyDescent="0.2">
      <c r="J643" s="182"/>
    </row>
    <row r="644" spans="5:10" x14ac:dyDescent="0.2">
      <c r="J644" s="182"/>
    </row>
    <row r="645" spans="5:10" x14ac:dyDescent="0.2">
      <c r="E645" s="176"/>
      <c r="H645" s="74"/>
      <c r="I645" s="74"/>
      <c r="J645" s="182"/>
    </row>
    <row r="646" spans="5:10" x14ac:dyDescent="0.2">
      <c r="H646" s="74"/>
      <c r="I646" s="74"/>
      <c r="J646" s="182"/>
    </row>
    <row r="648" spans="5:10" x14ac:dyDescent="0.2">
      <c r="J648" s="182"/>
    </row>
    <row r="649" spans="5:10" x14ac:dyDescent="0.2">
      <c r="J649" s="182"/>
    </row>
    <row r="650" spans="5:10" x14ac:dyDescent="0.2">
      <c r="H650" s="74"/>
      <c r="I650" s="74"/>
      <c r="J650" s="182"/>
    </row>
    <row r="651" spans="5:10" x14ac:dyDescent="0.2">
      <c r="H651" s="74"/>
      <c r="I651" s="74"/>
      <c r="J651" s="182"/>
    </row>
    <row r="652" spans="5:10" x14ac:dyDescent="0.2">
      <c r="H652" s="74"/>
      <c r="I652" s="74"/>
      <c r="J652" s="182"/>
    </row>
    <row r="653" spans="5:10" x14ac:dyDescent="0.2">
      <c r="E653" s="176"/>
      <c r="H653" s="74"/>
      <c r="I653" s="74"/>
      <c r="J653" s="182"/>
    </row>
    <row r="654" spans="5:10" x14ac:dyDescent="0.2">
      <c r="H654" s="74"/>
      <c r="I654" s="74"/>
      <c r="J654" s="182"/>
    </row>
    <row r="655" spans="5:10" x14ac:dyDescent="0.2">
      <c r="H655" s="74"/>
      <c r="I655" s="74"/>
      <c r="J655" s="182"/>
    </row>
  </sheetData>
  <mergeCells count="100">
    <mergeCell ref="G401:J401"/>
    <mergeCell ref="A384:C384"/>
    <mergeCell ref="A385:C385"/>
    <mergeCell ref="A386:C386"/>
    <mergeCell ref="A387:C387"/>
    <mergeCell ref="E387:J396"/>
    <mergeCell ref="A388:C388"/>
    <mergeCell ref="A389:C389"/>
    <mergeCell ref="A390:C390"/>
    <mergeCell ref="A391:C391"/>
    <mergeCell ref="A392:C392"/>
    <mergeCell ref="A393:C393"/>
    <mergeCell ref="A394:C394"/>
    <mergeCell ref="A395:C395"/>
    <mergeCell ref="A396:C396"/>
    <mergeCell ref="A401:F401"/>
    <mergeCell ref="A383:C383"/>
    <mergeCell ref="A371:J371"/>
    <mergeCell ref="A373:C373"/>
    <mergeCell ref="A374:C374"/>
    <mergeCell ref="A375:C375"/>
    <mergeCell ref="A376:C376"/>
    <mergeCell ref="A377:C377"/>
    <mergeCell ref="A378:C378"/>
    <mergeCell ref="A379:C379"/>
    <mergeCell ref="A380:C380"/>
    <mergeCell ref="A381:C381"/>
    <mergeCell ref="A382:C382"/>
    <mergeCell ref="A370:C370"/>
    <mergeCell ref="O288:O289"/>
    <mergeCell ref="A297:C297"/>
    <mergeCell ref="A298:C298"/>
    <mergeCell ref="A299:C299"/>
    <mergeCell ref="A300:J300"/>
    <mergeCell ref="A311:C311"/>
    <mergeCell ref="A312:C312"/>
    <mergeCell ref="A313:C313"/>
    <mergeCell ref="A314:J314"/>
    <mergeCell ref="A368:C368"/>
    <mergeCell ref="A369:C369"/>
    <mergeCell ref="O284:O285"/>
    <mergeCell ref="A262:C262"/>
    <mergeCell ref="A263:J263"/>
    <mergeCell ref="A273:C273"/>
    <mergeCell ref="A274:C274"/>
    <mergeCell ref="A275:C275"/>
    <mergeCell ref="A276:C276"/>
    <mergeCell ref="A277:J277"/>
    <mergeCell ref="A279:C279"/>
    <mergeCell ref="A280:C280"/>
    <mergeCell ref="A281:C281"/>
    <mergeCell ref="A282:J282"/>
    <mergeCell ref="A259:J259"/>
    <mergeCell ref="A246:C246"/>
    <mergeCell ref="A247:C247"/>
    <mergeCell ref="A248:C248"/>
    <mergeCell ref="A249:J249"/>
    <mergeCell ref="A251:C251"/>
    <mergeCell ref="A252:C252"/>
    <mergeCell ref="A253:C253"/>
    <mergeCell ref="A254:J254"/>
    <mergeCell ref="A256:C256"/>
    <mergeCell ref="A257:C257"/>
    <mergeCell ref="A258:C258"/>
    <mergeCell ref="A230:J230"/>
    <mergeCell ref="A207:C207"/>
    <mergeCell ref="A208:C208"/>
    <mergeCell ref="A209:C209"/>
    <mergeCell ref="A210:J210"/>
    <mergeCell ref="A214:C214"/>
    <mergeCell ref="A215:J215"/>
    <mergeCell ref="A219:C219"/>
    <mergeCell ref="A220:J220"/>
    <mergeCell ref="A227:C227"/>
    <mergeCell ref="A228:C228"/>
    <mergeCell ref="A229:C229"/>
    <mergeCell ref="A206:C206"/>
    <mergeCell ref="A55:C55"/>
    <mergeCell ref="A56:J56"/>
    <mergeCell ref="A58:C58"/>
    <mergeCell ref="A59:J59"/>
    <mergeCell ref="A87:C87"/>
    <mergeCell ref="A88:J88"/>
    <mergeCell ref="A91:C91"/>
    <mergeCell ref="A92:J92"/>
    <mergeCell ref="A167:C167"/>
    <mergeCell ref="A168:J168"/>
    <mergeCell ref="A205:C205"/>
    <mergeCell ref="A26:J26"/>
    <mergeCell ref="I1:J1"/>
    <mergeCell ref="A2:J2"/>
    <mergeCell ref="A3:J3"/>
    <mergeCell ref="I5:J5"/>
    <mergeCell ref="A7:J7"/>
    <mergeCell ref="A13:C13"/>
    <mergeCell ref="A14:J14"/>
    <mergeCell ref="A15:J15"/>
    <mergeCell ref="A17:C17"/>
    <mergeCell ref="A18:J18"/>
    <mergeCell ref="A25:C25"/>
  </mergeCells>
  <pageMargins left="0.19685039370078741" right="0.19685039370078741" top="0.9055118110236221" bottom="0.62992125984251968" header="0.74803149606299213" footer="0.19685039370078741"/>
  <pageSetup paperSize="9" scale="8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22,12,2025</vt:lpstr>
      <vt:lpstr>'22,12,2025'!Print_Area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Nicoleta Pop</dc:creator>
  <cp:lastModifiedBy>Mirela Tatar-Sinca</cp:lastModifiedBy>
  <dcterms:created xsi:type="dcterms:W3CDTF">2025-12-18T10:05:43Z</dcterms:created>
  <dcterms:modified xsi:type="dcterms:W3CDTF">2025-12-29T09:04:39Z</dcterms:modified>
</cp:coreProperties>
</file>