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1"/>
  </bookViews>
  <sheets>
    <sheet name="functionare" sheetId="1" r:id="rId1"/>
    <sheet name="dezvoltare" sheetId="2" r:id="rId2"/>
  </sheets>
  <definedNames/>
  <calcPr fullCalcOnLoad="1"/>
</workbook>
</file>

<file path=xl/sharedStrings.xml><?xml version="1.0" encoding="utf-8"?>
<sst xmlns="http://schemas.openxmlformats.org/spreadsheetml/2006/main" count="664" uniqueCount="264">
  <si>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</si>
  <si>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</si>
  <si>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</si>
  <si>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</si>
  <si>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</si>
  <si>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</si>
  <si>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</si>
  <si>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</si>
  <si>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</si>
  <si>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</si>
  <si>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</si>
  <si>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</si>
  <si>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</si>
  <si>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</si>
  <si>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</si>
  <si>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</si>
  <si>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</si>
  <si>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</si>
  <si>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</si>
  <si>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</si>
  <si>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</si>
  <si>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</si>
  <si>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</si>
  <si>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</si>
  <si>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</si>
  <si>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</si>
  <si>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</si>
  <si>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Gimnazial</t>
  </si>
  <si>
    <t>Liceal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</si>
  <si>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</si>
  <si>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</si>
  <si>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</si>
  <si>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</si>
  <si>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</si>
  <si>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</si>
  <si>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</si>
  <si>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</si>
  <si>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</si>
  <si>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</si>
  <si>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</si>
  <si>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</si>
  <si>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</si>
  <si>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</si>
  <si>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</si>
  <si>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</si>
  <si>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</si>
  <si>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</si>
  <si>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</si>
  <si>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</si>
  <si>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</si>
  <si>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</si>
  <si>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</si>
  <si>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</si>
  <si>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</si>
  <si>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</si>
  <si>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</si>
  <si>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</si>
  <si>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</si>
  <si>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</si>
  <si>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</si>
  <si>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</si>
  <si>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</si>
  <si>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</si>
  <si>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</si>
  <si>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</si>
  <si>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</si>
  <si>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</si>
  <si>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SPAS</t>
  </si>
  <si>
    <t>Crese</t>
  </si>
  <si>
    <t>Asistenti handic.</t>
  </si>
  <si>
    <t>Directia pentru Protectia Copilului</t>
  </si>
  <si>
    <t>Asistenta sociala (57), din care</t>
  </si>
  <si>
    <t>indemnizatii handic</t>
  </si>
  <si>
    <t xml:space="preserve">SPAS 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</si>
  <si>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</si>
  <si>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</si>
  <si>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</si>
  <si>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</si>
  <si>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</si>
  <si>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</si>
  <si>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</si>
  <si>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</si>
  <si>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</si>
  <si>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</si>
  <si>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</si>
  <si>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</si>
  <si>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</si>
  <si>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</si>
  <si>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</si>
  <si>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</si>
  <si>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</si>
  <si>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</si>
  <si>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</si>
  <si>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</si>
  <si>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</si>
  <si>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</si>
  <si>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</si>
  <si>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</si>
  <si>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</si>
  <si>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</si>
  <si>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</si>
  <si>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</si>
  <si>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</si>
  <si>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</si>
  <si>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</si>
  <si>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</si>
  <si>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</si>
  <si>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</si>
  <si>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</si>
  <si>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</si>
  <si>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</si>
  <si>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</si>
  <si>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</si>
  <si>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</si>
  <si>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</si>
  <si>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</si>
  <si>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83</t>
  </si>
  <si>
    <t>TOTAL 74</t>
  </si>
  <si>
    <t>TOTAL 70</t>
  </si>
  <si>
    <t>TOTAL 68</t>
  </si>
  <si>
    <t>TOTAL 67</t>
  </si>
  <si>
    <t>TOTAL 66</t>
  </si>
  <si>
    <t>TOTAL 61</t>
  </si>
  <si>
    <t>TOTAL 55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</si>
  <si>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</si>
  <si>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</si>
  <si>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</si>
  <si>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</si>
  <si>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</si>
  <si>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</si>
  <si>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</si>
  <si>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</si>
  <si>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</si>
  <si>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</si>
  <si>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</si>
  <si>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</si>
  <si>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</si>
  <si>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</si>
  <si>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</si>
  <si>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</si>
  <si>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</si>
  <si>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</si>
  <si>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</si>
  <si>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</si>
  <si>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</si>
  <si>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</si>
  <si>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</si>
  <si>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</si>
  <si>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</si>
  <si>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</si>
  <si>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</si>
  <si>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</si>
  <si>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</si>
  <si>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</si>
  <si>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</si>
  <si>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</si>
  <si>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</si>
  <si>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</si>
  <si>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</si>
  <si>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</si>
  <si>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</si>
  <si>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</si>
  <si>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</si>
  <si>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</si>
  <si>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</si>
  <si>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</si>
  <si>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</si>
  <si>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</si>
  <si>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</si>
  <si>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</si>
  <si>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</si>
  <si>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</si>
  <si>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</si>
  <si>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</si>
  <si>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</si>
  <si>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</si>
  <si>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</si>
  <si>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</si>
  <si>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</si>
  <si>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</si>
  <si>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</si>
  <si>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</si>
  <si>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</si>
  <si>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</si>
  <si>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</si>
  <si>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</si>
  <si>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</si>
  <si>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</si>
  <si>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</si>
  <si>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</si>
  <si>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</si>
  <si>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</si>
  <si>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</si>
  <si>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*proiecte FEN                                                                       (56)</t>
  </si>
  <si>
    <t>*cheltuieli de capital                                                              (70)</t>
  </si>
  <si>
    <t>*plati anii precedenti                                                              (84)</t>
  </si>
  <si>
    <t>ANEXA NR.2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</si>
  <si>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</si>
  <si>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</si>
  <si>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</si>
  <si>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</si>
  <si>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</si>
  <si>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</si>
  <si>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</si>
  <si>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</si>
  <si>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</si>
  <si>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</si>
  <si>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</si>
  <si>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</si>
  <si>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</si>
  <si>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</si>
  <si>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</si>
  <si>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</si>
  <si>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</si>
  <si>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</si>
  <si>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</si>
  <si>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</si>
  <si>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</si>
  <si>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</si>
  <si>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</si>
  <si>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</si>
  <si>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</si>
  <si>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</si>
  <si>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</si>
  <si>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</si>
  <si>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</si>
  <si>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</si>
  <si>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</si>
  <si>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*proiecte FEN                            (56)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</si>
  <si>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</si>
  <si>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</si>
  <si>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</si>
  <si>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</si>
  <si>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</si>
  <si>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</si>
  <si>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</si>
  <si>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ANEXA NR.2.1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</si>
  <si>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</si>
  <si>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</si>
  <si>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</si>
  <si>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</si>
  <si>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</si>
  <si>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</si>
  <si>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</si>
  <si>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</si>
  <si>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</si>
  <si>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</si>
  <si>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</si>
  <si>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</si>
  <si>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cadru financiar 2014-2020                            (58)</t>
  </si>
  <si>
    <t>*proiecte FEN        - cadru financiar 2014-2020        (58)</t>
  </si>
  <si>
    <t>proiecte FEN aferente cadrului financiar 2014-2020 (58)</t>
  </si>
  <si>
    <t xml:space="preserve">65.02.04.02
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</si>
  <si>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</si>
  <si>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</si>
  <si>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</si>
  <si>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</si>
  <si>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</si>
  <si>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*cheltuieli de capital                             (70)</t>
  </si>
  <si>
    <t>CHELTUIELI      -  la 30 IUNIE 2018</t>
  </si>
  <si>
    <t>CHELTUIELI       -      la 30 IUNIE 2018</t>
  </si>
  <si>
    <t>Grad realizare (plati / prevederi anuale)</t>
  </si>
  <si>
    <t>7=5/1</t>
  </si>
  <si>
    <t>Grad 
realizare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</si>
</sst>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" fillId="7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0" fontId="27" fillId="24" borderId="17" xfId="0" applyFont="1" applyFill="1" applyBorder="1" applyAlignment="1">
      <alignment horizontal="right"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3" fontId="26" fillId="0" borderId="11" xfId="0" applyNumberFormat="1" applyFont="1" applyBorder="1" applyAlignment="1">
      <alignment/>
    </xf>
    <xf numFmtId="3" fontId="30" fillId="22" borderId="18" xfId="0" applyNumberFormat="1" applyFont="1" applyFill="1" applyBorder="1" applyAlignment="1">
      <alignment/>
    </xf>
    <xf numFmtId="3" fontId="30" fillId="22" borderId="19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7" xfId="0" applyFont="1" applyFill="1" applyBorder="1" applyAlignment="1">
      <alignment horizontal="center"/>
    </xf>
    <xf numFmtId="3" fontId="26" fillId="22" borderId="18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3" fontId="2" fillId="7" borderId="21" xfId="0" applyNumberFormat="1" applyFont="1" applyFill="1" applyBorder="1" applyAlignment="1">
      <alignment horizontal="right"/>
    </xf>
    <xf numFmtId="3" fontId="2" fillId="7" borderId="11" xfId="0" applyNumberFormat="1" applyFont="1" applyFill="1" applyBorder="1" applyAlignment="1">
      <alignment horizontal="right"/>
    </xf>
    <xf numFmtId="0" fontId="32" fillId="20" borderId="2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31" fillId="22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33" fillId="0" borderId="11" xfId="0" applyNumberFormat="1" applyFont="1" applyBorder="1" applyAlignment="1">
      <alignment/>
    </xf>
    <xf numFmtId="0" fontId="2" fillId="7" borderId="24" xfId="0" applyFont="1" applyFill="1" applyBorder="1" applyAlignment="1">
      <alignment horizontal="center"/>
    </xf>
    <xf numFmtId="3" fontId="2" fillId="7" borderId="25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2" fillId="7" borderId="11" xfId="0" applyFont="1" applyFill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right"/>
    </xf>
    <xf numFmtId="0" fontId="32" fillId="7" borderId="3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0" fontId="2" fillId="7" borderId="32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3" fontId="2" fillId="7" borderId="33" xfId="0" applyNumberFormat="1" applyFont="1" applyFill="1" applyBorder="1" applyAlignment="1">
      <alignment horizontal="right"/>
    </xf>
    <xf numFmtId="3" fontId="2" fillId="7" borderId="34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3" fontId="2" fillId="7" borderId="23" xfId="0" applyNumberFormat="1" applyFont="1" applyFill="1" applyBorder="1" applyAlignment="1">
      <alignment horizontal="right"/>
    </xf>
    <xf numFmtId="3" fontId="2" fillId="7" borderId="36" xfId="0" applyNumberFormat="1" applyFont="1" applyFill="1" applyBorder="1" applyAlignment="1">
      <alignment horizontal="right"/>
    </xf>
    <xf numFmtId="3" fontId="2" fillId="7" borderId="12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7" borderId="37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21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3" borderId="21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8" borderId="26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24" borderId="26" xfId="0" applyNumberFormat="1" applyFont="1" applyFill="1" applyBorder="1" applyAlignment="1">
      <alignment/>
    </xf>
    <xf numFmtId="3" fontId="2" fillId="3" borderId="39" xfId="0" applyNumberFormat="1" applyFont="1" applyFill="1" applyBorder="1" applyAlignment="1">
      <alignment/>
    </xf>
    <xf numFmtId="3" fontId="2" fillId="3" borderId="2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21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3" fontId="34" fillId="0" borderId="11" xfId="0" applyNumberFormat="1" applyFont="1" applyBorder="1" applyAlignment="1">
      <alignment/>
    </xf>
    <xf numFmtId="0" fontId="32" fillId="7" borderId="4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/>
    </xf>
    <xf numFmtId="0" fontId="32" fillId="0" borderId="2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24" borderId="24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21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28" fillId="24" borderId="18" xfId="0" applyFont="1" applyFill="1" applyBorder="1" applyAlignment="1">
      <alignment horizontal="center"/>
    </xf>
    <xf numFmtId="3" fontId="2" fillId="24" borderId="18" xfId="0" applyNumberFormat="1" applyFont="1" applyFill="1" applyBorder="1" applyAlignment="1">
      <alignment/>
    </xf>
    <xf numFmtId="3" fontId="33" fillId="24" borderId="18" xfId="0" applyNumberFormat="1" applyFont="1" applyFill="1" applyBorder="1" applyAlignment="1">
      <alignment/>
    </xf>
    <xf numFmtId="3" fontId="2" fillId="24" borderId="19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/>
    </xf>
    <xf numFmtId="0" fontId="26" fillId="20" borderId="42" xfId="0" applyFont="1" applyFill="1" applyBorder="1" applyAlignment="1">
      <alignment horizontal="center"/>
    </xf>
    <xf numFmtId="0" fontId="26" fillId="20" borderId="43" xfId="0" applyFont="1" applyFill="1" applyBorder="1" applyAlignment="1">
      <alignment/>
    </xf>
    <xf numFmtId="0" fontId="32" fillId="20" borderId="21" xfId="0" applyFont="1" applyFill="1" applyBorder="1" applyAlignment="1">
      <alignment horizontal="center" wrapText="1"/>
    </xf>
    <xf numFmtId="0" fontId="32" fillId="20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3" fontId="22" fillId="7" borderId="21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44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0" fontId="32" fillId="7" borderId="15" xfId="0" applyFont="1" applyFill="1" applyBorder="1" applyAlignment="1">
      <alignment horizontal="center"/>
    </xf>
    <xf numFmtId="3" fontId="22" fillId="7" borderId="15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30" fillId="4" borderId="11" xfId="0" applyFont="1" applyFill="1" applyBorder="1" applyAlignment="1">
      <alignment/>
    </xf>
    <xf numFmtId="3" fontId="30" fillId="4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6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3" fontId="22" fillId="7" borderId="11" xfId="0" applyNumberFormat="1" applyFont="1" applyFill="1" applyBorder="1" applyAlignment="1">
      <alignment horizontal="right"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22" borderId="0" xfId="0" applyFont="1" applyFill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6" xfId="0" applyNumberFormat="1" applyFont="1" applyFill="1" applyBorder="1" applyAlignment="1">
      <alignment/>
    </xf>
    <xf numFmtId="0" fontId="22" fillId="4" borderId="30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32" xfId="0" applyFont="1" applyFill="1" applyBorder="1" applyAlignment="1">
      <alignment horizontal="right"/>
    </xf>
    <xf numFmtId="0" fontId="28" fillId="24" borderId="33" xfId="0" applyFont="1" applyFill="1" applyBorder="1" applyAlignment="1">
      <alignment horizontal="right"/>
    </xf>
    <xf numFmtId="3" fontId="24" fillId="24" borderId="33" xfId="0" applyNumberFormat="1" applyFont="1" applyFill="1" applyBorder="1" applyAlignment="1">
      <alignment/>
    </xf>
    <xf numFmtId="3" fontId="24" fillId="24" borderId="45" xfId="0" applyNumberFormat="1" applyFont="1" applyFill="1" applyBorder="1" applyAlignment="1">
      <alignment/>
    </xf>
    <xf numFmtId="0" fontId="22" fillId="24" borderId="46" xfId="0" applyFont="1" applyFill="1" applyBorder="1" applyAlignment="1">
      <alignment/>
    </xf>
    <xf numFmtId="3" fontId="22" fillId="24" borderId="33" xfId="0" applyNumberFormat="1" applyFont="1" applyFill="1" applyBorder="1" applyAlignment="1">
      <alignment/>
    </xf>
    <xf numFmtId="3" fontId="36" fillId="24" borderId="33" xfId="0" applyNumberFormat="1" applyFont="1" applyFill="1" applyBorder="1" applyAlignment="1">
      <alignment/>
    </xf>
    <xf numFmtId="3" fontId="24" fillId="24" borderId="3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2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44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44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7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0" fontId="32" fillId="20" borderId="33" xfId="0" applyFont="1" applyFill="1" applyBorder="1" applyAlignment="1">
      <alignment horizontal="center" wrapText="1"/>
    </xf>
    <xf numFmtId="0" fontId="32" fillId="20" borderId="33" xfId="0" applyFont="1" applyFill="1" applyBorder="1" applyAlignment="1">
      <alignment horizontal="center"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20" borderId="3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5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7" xfId="0" applyFont="1" applyFill="1" applyBorder="1" applyAlignment="1">
      <alignment horizontal="center"/>
    </xf>
    <xf numFmtId="3" fontId="30" fillId="22" borderId="18" xfId="0" applyNumberFormat="1" applyFont="1" applyFill="1" applyBorder="1" applyAlignment="1">
      <alignment/>
    </xf>
    <xf numFmtId="3" fontId="30" fillId="22" borderId="19" xfId="0" applyNumberFormat="1" applyFont="1" applyFill="1" applyBorder="1" applyAlignment="1">
      <alignment/>
    </xf>
    <xf numFmtId="0" fontId="32" fillId="0" borderId="21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0" fontId="28" fillId="26" borderId="11" xfId="0" applyFont="1" applyFill="1" applyBorder="1" applyAlignment="1">
      <alignment horizontal="center"/>
    </xf>
    <xf numFmtId="0" fontId="32" fillId="27" borderId="21" xfId="0" applyFont="1" applyFill="1" applyBorder="1" applyAlignment="1">
      <alignment horizontal="center"/>
    </xf>
    <xf numFmtId="3" fontId="2" fillId="27" borderId="16" xfId="0" applyNumberFormat="1" applyFont="1" applyFill="1" applyBorder="1" applyAlignment="1">
      <alignment horizontal="right"/>
    </xf>
    <xf numFmtId="3" fontId="37" fillId="26" borderId="11" xfId="0" applyNumberFormat="1" applyFont="1" applyFill="1" applyBorder="1" applyAlignment="1">
      <alignment horizontal="right"/>
    </xf>
    <xf numFmtId="0" fontId="28" fillId="0" borderId="4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8" borderId="10" xfId="0" applyFont="1" applyFill="1" applyBorder="1" applyAlignment="1">
      <alignment/>
    </xf>
    <xf numFmtId="0" fontId="1" fillId="28" borderId="11" xfId="0" applyFont="1" applyFill="1" applyBorder="1" applyAlignment="1">
      <alignment horizontal="right"/>
    </xf>
    <xf numFmtId="3" fontId="22" fillId="28" borderId="11" xfId="0" applyNumberFormat="1" applyFont="1" applyFill="1" applyBorder="1" applyAlignment="1">
      <alignment/>
    </xf>
    <xf numFmtId="3" fontId="22" fillId="28" borderId="12" xfId="0" applyNumberFormat="1" applyFont="1" applyFill="1" applyBorder="1" applyAlignment="1">
      <alignment/>
    </xf>
    <xf numFmtId="0" fontId="22" fillId="28" borderId="44" xfId="0" applyFont="1" applyFill="1" applyBorder="1" applyAlignment="1">
      <alignment/>
    </xf>
    <xf numFmtId="0" fontId="22" fillId="28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3" fontId="41" fillId="24" borderId="11" xfId="0" applyNumberFormat="1" applyFont="1" applyFill="1" applyBorder="1" applyAlignment="1">
      <alignment/>
    </xf>
    <xf numFmtId="0" fontId="32" fillId="3" borderId="11" xfId="0" applyFont="1" applyFill="1" applyBorder="1" applyAlignment="1">
      <alignment horizontal="center" vertical="center" wrapText="1"/>
    </xf>
    <xf numFmtId="10" fontId="22" fillId="7" borderId="21" xfId="0" applyNumberFormat="1" applyFont="1" applyFill="1" applyBorder="1" applyAlignment="1">
      <alignment horizontal="right"/>
    </xf>
    <xf numFmtId="10" fontId="22" fillId="0" borderId="11" xfId="0" applyNumberFormat="1" applyFont="1" applyBorder="1" applyAlignment="1">
      <alignment/>
    </xf>
    <xf numFmtId="10" fontId="22" fillId="0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10" fontId="22" fillId="24" borderId="11" xfId="0" applyNumberFormat="1" applyFont="1" applyFill="1" applyBorder="1" applyAlignment="1">
      <alignment/>
    </xf>
    <xf numFmtId="10" fontId="22" fillId="0" borderId="16" xfId="0" applyNumberFormat="1" applyFont="1" applyBorder="1" applyAlignment="1">
      <alignment/>
    </xf>
    <xf numFmtId="10" fontId="22" fillId="7" borderId="15" xfId="0" applyNumberFormat="1" applyFont="1" applyFill="1" applyBorder="1" applyAlignment="1">
      <alignment horizontal="right"/>
    </xf>
    <xf numFmtId="10" fontId="24" fillId="4" borderId="11" xfId="0" applyNumberFormat="1" applyFont="1" applyFill="1" applyBorder="1" applyAlignment="1">
      <alignment/>
    </xf>
    <xf numFmtId="10" fontId="36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2" fillId="28" borderId="11" xfId="0" applyNumberFormat="1" applyFont="1" applyFill="1" applyBorder="1" applyAlignment="1">
      <alignment/>
    </xf>
    <xf numFmtId="10" fontId="24" fillId="24" borderId="16" xfId="0" applyNumberFormat="1" applyFont="1" applyFill="1" applyBorder="1" applyAlignment="1">
      <alignment/>
    </xf>
    <xf numFmtId="10" fontId="22" fillId="7" borderId="11" xfId="0" applyNumberFormat="1" applyFont="1" applyFill="1" applyBorder="1" applyAlignment="1">
      <alignment horizontal="right"/>
    </xf>
    <xf numFmtId="10" fontId="24" fillId="24" borderId="34" xfId="0" applyNumberFormat="1" applyFont="1" applyFill="1" applyBorder="1" applyAlignment="1">
      <alignment/>
    </xf>
    <xf numFmtId="10" fontId="32" fillId="20" borderId="21" xfId="0" applyNumberFormat="1" applyFont="1" applyFill="1" applyBorder="1" applyAlignment="1">
      <alignment horizontal="center" wrapText="1"/>
    </xf>
    <xf numFmtId="3" fontId="2" fillId="8" borderId="39" xfId="0" applyNumberFormat="1" applyFont="1" applyFill="1" applyBorder="1" applyAlignment="1">
      <alignment/>
    </xf>
    <xf numFmtId="3" fontId="23" fillId="8" borderId="26" xfId="0" applyNumberFormat="1" applyFont="1" applyFill="1" applyBorder="1" applyAlignment="1">
      <alignment/>
    </xf>
    <xf numFmtId="3" fontId="2" fillId="27" borderId="41" xfId="0" applyNumberFormat="1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0" fontId="32" fillId="20" borderId="45" xfId="0" applyFont="1" applyFill="1" applyBorder="1" applyAlignment="1">
      <alignment horizontal="center" wrapText="1"/>
    </xf>
    <xf numFmtId="3" fontId="2" fillId="0" borderId="39" xfId="0" applyNumberFormat="1" applyFont="1" applyBorder="1" applyAlignment="1" quotePrefix="1">
      <alignment/>
    </xf>
    <xf numFmtId="3" fontId="2" fillId="0" borderId="26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2" fillId="29" borderId="11" xfId="0" applyFont="1" applyFill="1" applyBorder="1" applyAlignment="1">
      <alignment horizontal="center" wrapText="1"/>
    </xf>
    <xf numFmtId="10" fontId="2" fillId="0" borderId="11" xfId="0" applyNumberFormat="1" applyFont="1" applyBorder="1" applyAlignment="1">
      <alignment/>
    </xf>
    <xf numFmtId="3" fontId="2" fillId="20" borderId="45" xfId="0" applyNumberFormat="1" applyFont="1" applyFill="1" applyBorder="1" applyAlignment="1">
      <alignment/>
    </xf>
    <xf numFmtId="10" fontId="39" fillId="20" borderId="40" xfId="0" applyNumberFormat="1" applyFont="1" applyFill="1" applyBorder="1" applyAlignment="1">
      <alignment/>
    </xf>
    <xf numFmtId="0" fontId="32" fillId="29" borderId="35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/>
    </xf>
    <xf numFmtId="10" fontId="2" fillId="7" borderId="50" xfId="0" applyNumberFormat="1" applyFont="1" applyFill="1" applyBorder="1" applyAlignment="1">
      <alignment horizontal="right"/>
    </xf>
    <xf numFmtId="10" fontId="0" fillId="0" borderId="49" xfId="0" applyNumberFormat="1" applyBorder="1" applyAlignment="1">
      <alignment/>
    </xf>
    <xf numFmtId="10" fontId="0" fillId="8" borderId="49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10" fontId="29" fillId="20" borderId="40" xfId="0" applyNumberFormat="1" applyFont="1" applyFill="1" applyBorder="1" applyAlignment="1">
      <alignment horizontal="center"/>
    </xf>
    <xf numFmtId="10" fontId="2" fillId="24" borderId="50" xfId="0" applyNumberFormat="1" applyFont="1" applyFill="1" applyBorder="1" applyAlignment="1">
      <alignment horizontal="right"/>
    </xf>
    <xf numFmtId="10" fontId="2" fillId="7" borderId="51" xfId="0" applyNumberFormat="1" applyFont="1" applyFill="1" applyBorder="1" applyAlignment="1">
      <alignment horizontal="center"/>
    </xf>
    <xf numFmtId="10" fontId="0" fillId="0" borderId="52" xfId="0" applyNumberFormat="1" applyBorder="1" applyAlignment="1">
      <alignment/>
    </xf>
    <xf numFmtId="10" fontId="0" fillId="20" borderId="40" xfId="0" applyNumberFormat="1" applyFill="1" applyBorder="1" applyAlignment="1">
      <alignment horizontal="center"/>
    </xf>
    <xf numFmtId="10" fontId="2" fillId="24" borderId="53" xfId="0" applyNumberFormat="1" applyFont="1" applyFill="1" applyBorder="1" applyAlignment="1">
      <alignment horizontal="right"/>
    </xf>
    <xf numFmtId="10" fontId="2" fillId="7" borderId="49" xfId="0" applyNumberFormat="1" applyFont="1" applyFill="1" applyBorder="1" applyAlignment="1">
      <alignment horizontal="center"/>
    </xf>
    <xf numFmtId="10" fontId="0" fillId="24" borderId="49" xfId="0" applyNumberFormat="1" applyFill="1" applyBorder="1" applyAlignment="1">
      <alignment/>
    </xf>
    <xf numFmtId="10" fontId="2" fillId="8" borderId="12" xfId="0" applyNumberFormat="1" applyFont="1" applyFill="1" applyBorder="1" applyAlignment="1">
      <alignment vertical="center"/>
    </xf>
    <xf numFmtId="10" fontId="2" fillId="0" borderId="12" xfId="0" applyNumberFormat="1" applyFont="1" applyFill="1" applyBorder="1" applyAlignment="1">
      <alignment vertical="center"/>
    </xf>
    <xf numFmtId="10" fontId="29" fillId="24" borderId="50" xfId="0" applyNumberFormat="1" applyFont="1" applyFill="1" applyBorder="1" applyAlignment="1">
      <alignment/>
    </xf>
    <xf numFmtId="10" fontId="23" fillId="24" borderId="49" xfId="0" applyNumberFormat="1" applyFont="1" applyFill="1" applyBorder="1" applyAlignment="1">
      <alignment horizontal="right"/>
    </xf>
    <xf numFmtId="10" fontId="23" fillId="24" borderId="51" xfId="0" applyNumberFormat="1" applyFont="1" applyFill="1" applyBorder="1" applyAlignment="1">
      <alignment horizontal="right"/>
    </xf>
    <xf numFmtId="10" fontId="2" fillId="24" borderId="51" xfId="0" applyNumberFormat="1" applyFont="1" applyFill="1" applyBorder="1" applyAlignment="1">
      <alignment vertical="center"/>
    </xf>
    <xf numFmtId="10" fontId="2" fillId="24" borderId="49" xfId="0" applyNumberFormat="1" applyFont="1" applyFill="1" applyBorder="1" applyAlignment="1">
      <alignment horizontal="right"/>
    </xf>
    <xf numFmtId="10" fontId="2" fillId="7" borderId="40" xfId="0" applyNumberFormat="1" applyFont="1" applyFill="1" applyBorder="1" applyAlignment="1">
      <alignment horizontal="center"/>
    </xf>
    <xf numFmtId="10" fontId="0" fillId="3" borderId="50" xfId="0" applyNumberFormat="1" applyFill="1" applyBorder="1" applyAlignment="1">
      <alignment/>
    </xf>
    <xf numFmtId="10" fontId="29" fillId="20" borderId="49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vertical="center"/>
    </xf>
    <xf numFmtId="10" fontId="2" fillId="0" borderId="12" xfId="0" applyNumberFormat="1" applyFont="1" applyFill="1" applyBorder="1" applyAlignment="1">
      <alignment vertical="center"/>
    </xf>
    <xf numFmtId="10" fontId="0" fillId="20" borderId="49" xfId="0" applyNumberFormat="1" applyFill="1" applyBorder="1" applyAlignment="1">
      <alignment horizontal="center"/>
    </xf>
    <xf numFmtId="10" fontId="23" fillId="24" borderId="49" xfId="0" applyNumberFormat="1" applyFont="1" applyFill="1" applyBorder="1" applyAlignment="1" applyProtection="1">
      <alignment horizontal="right"/>
      <protection/>
    </xf>
    <xf numFmtId="10" fontId="27" fillId="24" borderId="54" xfId="0" applyNumberFormat="1" applyFont="1" applyFill="1" applyBorder="1" applyAlignment="1">
      <alignment horizontal="right"/>
    </xf>
    <xf numFmtId="10" fontId="2" fillId="24" borderId="12" xfId="0" applyNumberFormat="1" applyFont="1" applyFill="1" applyBorder="1" applyAlignment="1">
      <alignment vertical="center"/>
    </xf>
    <xf numFmtId="10" fontId="23" fillId="8" borderId="12" xfId="0" applyNumberFormat="1" applyFont="1" applyFill="1" applyBorder="1" applyAlignment="1">
      <alignment vertical="center"/>
    </xf>
    <xf numFmtId="10" fontId="23" fillId="0" borderId="12" xfId="0" applyNumberFormat="1" applyFont="1" applyFill="1" applyBorder="1" applyAlignment="1">
      <alignment vertical="center"/>
    </xf>
    <xf numFmtId="10" fontId="28" fillId="24" borderId="49" xfId="0" applyNumberFormat="1" applyFont="1" applyFill="1" applyBorder="1" applyAlignment="1">
      <alignment horizontal="right"/>
    </xf>
    <xf numFmtId="0" fontId="28" fillId="26" borderId="10" xfId="0" applyFont="1" applyFill="1" applyBorder="1" applyAlignment="1">
      <alignment horizontal="right"/>
    </xf>
    <xf numFmtId="10" fontId="28" fillId="26" borderId="12" xfId="0" applyNumberFormat="1" applyFont="1" applyFill="1" applyBorder="1" applyAlignment="1">
      <alignment horizontal="right"/>
    </xf>
    <xf numFmtId="10" fontId="2" fillId="7" borderId="53" xfId="0" applyNumberFormat="1" applyFont="1" applyFill="1" applyBorder="1" applyAlignment="1">
      <alignment horizontal="center"/>
    </xf>
    <xf numFmtId="10" fontId="2" fillId="8" borderId="49" xfId="0" applyNumberFormat="1" applyFont="1" applyFill="1" applyBorder="1" applyAlignment="1">
      <alignment vertical="center"/>
    </xf>
    <xf numFmtId="10" fontId="2" fillId="0" borderId="49" xfId="0" applyNumberFormat="1" applyFont="1" applyFill="1" applyBorder="1" applyAlignment="1">
      <alignment vertical="center"/>
    </xf>
    <xf numFmtId="10" fontId="0" fillId="24" borderId="54" xfId="0" applyNumberFormat="1" applyFill="1" applyBorder="1" applyAlignment="1">
      <alignment/>
    </xf>
    <xf numFmtId="10" fontId="2" fillId="7" borderId="51" xfId="0" applyNumberFormat="1" applyFont="1" applyFill="1" applyBorder="1" applyAlignment="1">
      <alignment horizontal="right"/>
    </xf>
    <xf numFmtId="0" fontId="32" fillId="20" borderId="55" xfId="0" applyFont="1" applyFill="1" applyBorder="1" applyAlignment="1">
      <alignment horizontal="center" wrapText="1"/>
    </xf>
    <xf numFmtId="3" fontId="0" fillId="0" borderId="26" xfId="0" applyNumberFormat="1" applyBorder="1" applyAlignment="1">
      <alignment/>
    </xf>
    <xf numFmtId="3" fontId="2" fillId="20" borderId="48" xfId="0" applyNumberFormat="1" applyFont="1" applyFill="1" applyBorder="1" applyAlignment="1">
      <alignment/>
    </xf>
    <xf numFmtId="0" fontId="2" fillId="29" borderId="35" xfId="0" applyFont="1" applyFill="1" applyBorder="1" applyAlignment="1">
      <alignment horizontal="center" wrapText="1"/>
    </xf>
    <xf numFmtId="10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0" fontId="22" fillId="29" borderId="19" xfId="0" applyNumberFormat="1" applyFont="1" applyFill="1" applyBorder="1" applyAlignment="1">
      <alignment/>
    </xf>
    <xf numFmtId="0" fontId="28" fillId="0" borderId="1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4" borderId="56" xfId="0" applyFont="1" applyFill="1" applyBorder="1" applyAlignment="1">
      <alignment horizontal="center"/>
    </xf>
    <xf numFmtId="0" fontId="22" fillId="4" borderId="44" xfId="0" applyFont="1" applyFill="1" applyBorder="1" applyAlignment="1">
      <alignment horizontal="center"/>
    </xf>
    <xf numFmtId="0" fontId="22" fillId="22" borderId="44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56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57" xfId="0" applyFont="1" applyFill="1" applyBorder="1" applyAlignment="1">
      <alignment horizontal="center"/>
    </xf>
    <xf numFmtId="0" fontId="25" fillId="22" borderId="27" xfId="0" applyFont="1" applyFill="1" applyBorder="1" applyAlignment="1">
      <alignment horizontal="center"/>
    </xf>
    <xf numFmtId="0" fontId="25" fillId="22" borderId="58" xfId="0" applyFont="1" applyFill="1" applyBorder="1" applyAlignment="1">
      <alignment horizontal="center"/>
    </xf>
    <xf numFmtId="0" fontId="25" fillId="22" borderId="47" xfId="0" applyFont="1" applyFill="1" applyBorder="1" applyAlignment="1">
      <alignment horizontal="center"/>
    </xf>
    <xf numFmtId="0" fontId="25" fillId="22" borderId="59" xfId="0" applyFont="1" applyFill="1" applyBorder="1" applyAlignment="1">
      <alignment horizontal="center"/>
    </xf>
    <xf numFmtId="0" fontId="25" fillId="22" borderId="60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5" xfId="0" applyFont="1" applyFill="1" applyBorder="1" applyAlignment="1">
      <alignment horizontal="center"/>
    </xf>
    <xf numFmtId="0" fontId="25" fillId="22" borderId="18" xfId="0" applyFont="1" applyFill="1" applyBorder="1" applyAlignment="1">
      <alignment horizontal="center"/>
    </xf>
    <xf numFmtId="0" fontId="25" fillId="22" borderId="19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61" xfId="0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5" fillId="20" borderId="32" xfId="0" applyFont="1" applyFill="1" applyBorder="1" applyAlignment="1">
      <alignment horizontal="center"/>
    </xf>
    <xf numFmtId="0" fontId="25" fillId="20" borderId="33" xfId="0" applyFont="1" applyFill="1" applyBorder="1" applyAlignment="1">
      <alignment horizontal="center"/>
    </xf>
    <xf numFmtId="0" fontId="0" fillId="20" borderId="62" xfId="0" applyFill="1" applyBorder="1" applyAlignment="1">
      <alignment horizontal="center"/>
    </xf>
    <xf numFmtId="0" fontId="0" fillId="20" borderId="56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29" fillId="20" borderId="61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9" fillId="20" borderId="56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vertical="center"/>
    </xf>
    <xf numFmtId="0" fontId="2" fillId="8" borderId="24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0" fillId="20" borderId="61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66" xfId="0" applyFont="1" applyFill="1" applyBorder="1" applyAlignment="1">
      <alignment horizontal="center"/>
    </xf>
    <xf numFmtId="0" fontId="26" fillId="20" borderId="6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20" borderId="17" xfId="0" applyFont="1" applyFill="1" applyBorder="1" applyAlignment="1">
      <alignment horizontal="center"/>
    </xf>
    <xf numFmtId="0" fontId="25" fillId="20" borderId="18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3" fillId="8" borderId="29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68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0"/>
  <sheetViews>
    <sheetView zoomScalePageLayoutView="0" workbookViewId="0" topLeftCell="A245">
      <selection activeCell="C286" sqref="C286"/>
    </sheetView>
  </sheetViews>
  <sheetFormatPr defaultColWidth="9.140625" defaultRowHeight="12.75"/>
  <cols>
    <col min="1" max="1" width="58.8515625" style="145" customWidth="1"/>
    <col min="2" max="2" width="11.140625" style="145" customWidth="1"/>
    <col min="3" max="3" width="12.140625" style="145" customWidth="1"/>
    <col min="4" max="4" width="12.421875" style="145" customWidth="1"/>
    <col min="5" max="6" width="12.7109375" style="145" hidden="1" customWidth="1"/>
    <col min="7" max="7" width="10.140625" style="145" hidden="1" customWidth="1"/>
    <col min="8" max="8" width="12.421875" style="145" hidden="1" customWidth="1"/>
    <col min="9" max="9" width="10.140625" style="145" hidden="1" customWidth="1"/>
    <col min="10" max="10" width="11.28125" style="145" customWidth="1"/>
    <col min="11" max="12" width="11.57421875" style="145" customWidth="1"/>
    <col min="13" max="13" width="12.140625" style="145" customWidth="1"/>
    <col min="14" max="14" width="12.7109375" style="145" customWidth="1"/>
    <col min="15" max="15" width="10.140625" style="145" bestFit="1" customWidth="1"/>
    <col min="16" max="16" width="11.140625" style="145" bestFit="1" customWidth="1"/>
    <col min="17" max="17" width="11.140625" style="145" customWidth="1"/>
    <col min="18" max="18" width="11.421875" style="145" customWidth="1"/>
    <col min="19" max="19" width="12.57421875" style="145" customWidth="1"/>
    <col min="20" max="16384" width="9.140625" style="145" customWidth="1"/>
  </cols>
  <sheetData>
    <row r="1" spans="1:13" ht="14.25">
      <c r="A1" s="144" t="s">
        <v>205</v>
      </c>
      <c r="K1" s="381" t="s">
        <v>196</v>
      </c>
      <c r="L1" s="381"/>
      <c r="M1" s="381"/>
    </row>
    <row r="2" spans="1:13" ht="14.25">
      <c r="A2" s="144" t="s">
        <v>206</v>
      </c>
      <c r="K2" s="381"/>
      <c r="L2" s="381"/>
      <c r="M2" s="381"/>
    </row>
    <row r="3" spans="1:13" ht="12.75" customHeight="1">
      <c r="A3" s="389" t="s">
        <v>178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ht="12.75" customHeight="1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</row>
    <row r="5" spans="1:13" ht="12.75" customHeight="1">
      <c r="A5" s="389"/>
      <c r="B5" s="389"/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</row>
    <row r="6" spans="1:13" ht="19.5" customHeight="1">
      <c r="A6" s="390" t="s">
        <v>259</v>
      </c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</row>
    <row r="7" spans="1:13" ht="12.75" customHeight="1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388" t="s">
        <v>177</v>
      </c>
      <c r="M7" s="388"/>
    </row>
    <row r="8" spans="1:14" ht="45">
      <c r="A8" s="405" t="s">
        <v>165</v>
      </c>
      <c r="B8" s="406"/>
      <c r="C8" s="147" t="s">
        <v>166</v>
      </c>
      <c r="D8" s="147" t="s">
        <v>167</v>
      </c>
      <c r="E8" s="148"/>
      <c r="F8" s="148"/>
      <c r="G8" s="148"/>
      <c r="H8" s="148"/>
      <c r="I8" s="148"/>
      <c r="J8" s="147" t="s">
        <v>168</v>
      </c>
      <c r="K8" s="147" t="s">
        <v>169</v>
      </c>
      <c r="L8" s="147" t="s">
        <v>170</v>
      </c>
      <c r="M8" s="147" t="s">
        <v>171</v>
      </c>
      <c r="N8" s="301" t="s">
        <v>261</v>
      </c>
    </row>
    <row r="9" spans="1:14" ht="15.75">
      <c r="A9" s="149"/>
      <c r="B9" s="150"/>
      <c r="C9" s="151">
        <v>1</v>
      </c>
      <c r="D9" s="151">
        <v>2</v>
      </c>
      <c r="E9" s="152"/>
      <c r="F9" s="152"/>
      <c r="G9" s="152"/>
      <c r="H9" s="152"/>
      <c r="I9" s="152"/>
      <c r="J9" s="151">
        <v>3</v>
      </c>
      <c r="K9" s="151">
        <v>4</v>
      </c>
      <c r="L9" s="151">
        <v>5</v>
      </c>
      <c r="M9" s="151" t="s">
        <v>174</v>
      </c>
      <c r="N9" s="317" t="s">
        <v>262</v>
      </c>
    </row>
    <row r="10" spans="1:14" ht="24.75" customHeight="1">
      <c r="A10" s="153" t="s">
        <v>11</v>
      </c>
      <c r="B10" s="154" t="s">
        <v>172</v>
      </c>
      <c r="C10" s="155">
        <f>C11+C12+C21+C16+C18</f>
        <v>20600000</v>
      </c>
      <c r="D10" s="155">
        <f aca="true" t="shared" si="0" ref="D10:M10">D11+D12+D21+D16+D18</f>
        <v>11549000</v>
      </c>
      <c r="E10" s="155">
        <f t="shared" si="0"/>
        <v>19479000</v>
      </c>
      <c r="F10" s="155">
        <f t="shared" si="0"/>
        <v>19479000</v>
      </c>
      <c r="G10" s="155">
        <f t="shared" si="0"/>
        <v>19479000</v>
      </c>
      <c r="H10" s="155">
        <f t="shared" si="0"/>
        <v>19479000</v>
      </c>
      <c r="I10" s="155">
        <f t="shared" si="0"/>
        <v>19479000</v>
      </c>
      <c r="J10" s="155">
        <f t="shared" si="0"/>
        <v>19925033</v>
      </c>
      <c r="K10" s="155">
        <f t="shared" si="0"/>
        <v>19935033</v>
      </c>
      <c r="L10" s="155">
        <f t="shared" si="0"/>
        <v>10097193</v>
      </c>
      <c r="M10" s="155">
        <f t="shared" si="0"/>
        <v>9827840</v>
      </c>
      <c r="N10" s="302">
        <f>L10/C10</f>
        <v>0.490155</v>
      </c>
    </row>
    <row r="11" spans="1:14" ht="15">
      <c r="A11" s="156" t="s">
        <v>160</v>
      </c>
      <c r="B11" s="378" t="s">
        <v>10</v>
      </c>
      <c r="C11" s="157">
        <v>18344000</v>
      </c>
      <c r="D11" s="157">
        <f>4800000+5167000</f>
        <v>9967000</v>
      </c>
      <c r="E11" s="157"/>
      <c r="F11" s="157"/>
      <c r="G11" s="158"/>
      <c r="H11" s="159"/>
      <c r="I11" s="159"/>
      <c r="J11" s="157">
        <v>18313532</v>
      </c>
      <c r="K11" s="157">
        <v>18323532</v>
      </c>
      <c r="L11" s="157">
        <v>8936138</v>
      </c>
      <c r="M11" s="157">
        <f>J11-L11</f>
        <v>9377394</v>
      </c>
      <c r="N11" s="303">
        <f>L11/C11</f>
        <v>0.4871422808547754</v>
      </c>
    </row>
    <row r="12" spans="1:14" ht="15.75" customHeight="1">
      <c r="A12" s="156" t="s">
        <v>161</v>
      </c>
      <c r="B12" s="379"/>
      <c r="C12" s="160">
        <v>2100000</v>
      </c>
      <c r="D12" s="160">
        <v>1500000</v>
      </c>
      <c r="E12" s="160"/>
      <c r="F12" s="160"/>
      <c r="G12" s="202"/>
      <c r="H12" s="401"/>
      <c r="I12" s="402"/>
      <c r="J12" s="160">
        <v>1455601</v>
      </c>
      <c r="K12" s="160">
        <v>1455601</v>
      </c>
      <c r="L12" s="160">
        <v>1088473</v>
      </c>
      <c r="M12" s="160">
        <f aca="true" t="shared" si="1" ref="M12:M20">J12-L12</f>
        <v>367128</v>
      </c>
      <c r="N12" s="304">
        <f>L12/C12</f>
        <v>0.5183204761904762</v>
      </c>
    </row>
    <row r="13" spans="1:14" ht="15" customHeight="1" hidden="1">
      <c r="A13" s="156" t="s">
        <v>0</v>
      </c>
      <c r="B13" s="379"/>
      <c r="C13" s="157">
        <f aca="true" t="shared" si="2" ref="C13:C20">D13+E13+F13+G13</f>
        <v>0</v>
      </c>
      <c r="D13" s="157"/>
      <c r="E13" s="157"/>
      <c r="F13" s="157"/>
      <c r="G13" s="158"/>
      <c r="H13" s="162"/>
      <c r="I13" s="163"/>
      <c r="J13" s="157"/>
      <c r="K13" s="157"/>
      <c r="L13" s="157"/>
      <c r="M13" s="157">
        <f t="shared" si="1"/>
        <v>0</v>
      </c>
      <c r="N13" s="303"/>
    </row>
    <row r="14" spans="1:14" ht="15" customHeight="1" hidden="1">
      <c r="A14" s="156" t="s">
        <v>1</v>
      </c>
      <c r="B14" s="379"/>
      <c r="C14" s="157">
        <f t="shared" si="2"/>
        <v>0</v>
      </c>
      <c r="D14" s="157"/>
      <c r="E14" s="157"/>
      <c r="F14" s="157"/>
      <c r="G14" s="158"/>
      <c r="H14" s="162"/>
      <c r="I14" s="163"/>
      <c r="J14" s="157"/>
      <c r="K14" s="157"/>
      <c r="L14" s="157"/>
      <c r="M14" s="157">
        <f t="shared" si="1"/>
        <v>0</v>
      </c>
      <c r="N14" s="303"/>
    </row>
    <row r="15" spans="1:14" ht="15" customHeight="1" hidden="1">
      <c r="A15" s="156" t="s">
        <v>159</v>
      </c>
      <c r="B15" s="379"/>
      <c r="C15" s="157">
        <f t="shared" si="2"/>
        <v>0</v>
      </c>
      <c r="D15" s="157"/>
      <c r="E15" s="157"/>
      <c r="F15" s="157"/>
      <c r="G15" s="158"/>
      <c r="H15" s="162"/>
      <c r="I15" s="163"/>
      <c r="J15" s="157"/>
      <c r="K15" s="157"/>
      <c r="L15" s="157"/>
      <c r="M15" s="157">
        <f t="shared" si="1"/>
        <v>0</v>
      </c>
      <c r="N15" s="303"/>
    </row>
    <row r="16" spans="1:14" ht="15" customHeight="1" hidden="1">
      <c r="A16" s="156" t="s">
        <v>246</v>
      </c>
      <c r="B16" s="379"/>
      <c r="C16" s="157">
        <v>0</v>
      </c>
      <c r="D16" s="157">
        <v>0</v>
      </c>
      <c r="E16" s="157"/>
      <c r="F16" s="157"/>
      <c r="G16" s="158"/>
      <c r="H16" s="162"/>
      <c r="I16" s="163"/>
      <c r="J16" s="157"/>
      <c r="K16" s="157"/>
      <c r="L16" s="157"/>
      <c r="M16" s="157">
        <f t="shared" si="1"/>
        <v>0</v>
      </c>
      <c r="N16" s="303"/>
    </row>
    <row r="17" spans="1:14" ht="15" customHeight="1" hidden="1">
      <c r="A17" s="156" t="s">
        <v>3</v>
      </c>
      <c r="B17" s="379"/>
      <c r="C17" s="157">
        <f t="shared" si="2"/>
        <v>0</v>
      </c>
      <c r="D17" s="157"/>
      <c r="E17" s="157"/>
      <c r="F17" s="157"/>
      <c r="G17" s="158"/>
      <c r="H17" s="162"/>
      <c r="I17" s="163"/>
      <c r="J17" s="157"/>
      <c r="K17" s="157"/>
      <c r="L17" s="157"/>
      <c r="M17" s="157">
        <f t="shared" si="1"/>
        <v>0</v>
      </c>
      <c r="N17" s="303"/>
    </row>
    <row r="18" spans="1:14" ht="15">
      <c r="A18" s="156" t="s">
        <v>4</v>
      </c>
      <c r="B18" s="380"/>
      <c r="C18" s="157">
        <v>156000</v>
      </c>
      <c r="D18" s="157">
        <f>82000</f>
        <v>82000</v>
      </c>
      <c r="E18" s="157"/>
      <c r="F18" s="157"/>
      <c r="G18" s="158"/>
      <c r="H18" s="162"/>
      <c r="I18" s="163"/>
      <c r="J18" s="157">
        <v>156000</v>
      </c>
      <c r="K18" s="157">
        <v>156000</v>
      </c>
      <c r="L18" s="157">
        <v>72682</v>
      </c>
      <c r="M18" s="157">
        <f t="shared" si="1"/>
        <v>83318</v>
      </c>
      <c r="N18" s="303">
        <f>L18/C18</f>
        <v>0.4659102564102564</v>
      </c>
    </row>
    <row r="19" spans="1:14" ht="15" hidden="1">
      <c r="A19" s="156" t="s">
        <v>5</v>
      </c>
      <c r="B19" s="161"/>
      <c r="C19" s="157">
        <f t="shared" si="2"/>
        <v>0</v>
      </c>
      <c r="D19" s="157"/>
      <c r="E19" s="157"/>
      <c r="F19" s="157"/>
      <c r="G19" s="158"/>
      <c r="H19" s="162"/>
      <c r="I19" s="163"/>
      <c r="J19" s="157"/>
      <c r="K19" s="157"/>
      <c r="L19" s="157"/>
      <c r="M19" s="157">
        <f t="shared" si="1"/>
        <v>0</v>
      </c>
      <c r="N19" s="303"/>
    </row>
    <row r="20" spans="1:14" ht="15" hidden="1">
      <c r="A20" s="156" t="s">
        <v>6</v>
      </c>
      <c r="B20" s="161"/>
      <c r="C20" s="157">
        <f t="shared" si="2"/>
        <v>0</v>
      </c>
      <c r="D20" s="157"/>
      <c r="E20" s="157"/>
      <c r="F20" s="157"/>
      <c r="G20" s="158"/>
      <c r="H20" s="162"/>
      <c r="I20" s="163"/>
      <c r="J20" s="157"/>
      <c r="K20" s="157"/>
      <c r="L20" s="157"/>
      <c r="M20" s="157">
        <f t="shared" si="1"/>
        <v>0</v>
      </c>
      <c r="N20" s="303"/>
    </row>
    <row r="21" spans="1:14" ht="15">
      <c r="A21" s="164" t="s">
        <v>7</v>
      </c>
      <c r="B21" s="161"/>
      <c r="C21" s="157"/>
      <c r="D21" s="165"/>
      <c r="E21" s="165">
        <f>E24</f>
        <v>-4991</v>
      </c>
      <c r="F21" s="165">
        <f>F24</f>
        <v>-4991</v>
      </c>
      <c r="G21" s="165">
        <f>G24</f>
        <v>-4991</v>
      </c>
      <c r="H21" s="165">
        <f>H24</f>
        <v>-4991</v>
      </c>
      <c r="I21" s="165">
        <f>I24</f>
        <v>-4991</v>
      </c>
      <c r="J21" s="165">
        <f>K21</f>
        <v>-100</v>
      </c>
      <c r="K21" s="165">
        <f>L21</f>
        <v>-100</v>
      </c>
      <c r="L21" s="165">
        <v>-100</v>
      </c>
      <c r="M21" s="157"/>
      <c r="N21" s="303"/>
    </row>
    <row r="22" spans="1:14" ht="15">
      <c r="A22" s="166" t="s">
        <v>8</v>
      </c>
      <c r="B22" s="161"/>
      <c r="C22" s="157"/>
      <c r="D22" s="157"/>
      <c r="E22" s="157"/>
      <c r="F22" s="157"/>
      <c r="G22" s="158"/>
      <c r="H22" s="162" t="s">
        <v>112</v>
      </c>
      <c r="I22" s="167">
        <f>C11+C12</f>
        <v>20444000</v>
      </c>
      <c r="J22" s="157"/>
      <c r="K22" s="157"/>
      <c r="L22" s="157"/>
      <c r="M22" s="157"/>
      <c r="N22" s="303"/>
    </row>
    <row r="23" spans="1:14" ht="14.25">
      <c r="A23" s="168" t="s">
        <v>9</v>
      </c>
      <c r="B23" s="169" t="s">
        <v>10</v>
      </c>
      <c r="C23" s="170">
        <f>C11+C12+C16+C18</f>
        <v>20600000</v>
      </c>
      <c r="D23" s="170">
        <f aca="true" t="shared" si="3" ref="D23:M23">D11+D12+D16+D18</f>
        <v>11549000</v>
      </c>
      <c r="E23" s="170">
        <f t="shared" si="3"/>
        <v>0</v>
      </c>
      <c r="F23" s="170">
        <f t="shared" si="3"/>
        <v>0</v>
      </c>
      <c r="G23" s="170">
        <f t="shared" si="3"/>
        <v>0</v>
      </c>
      <c r="H23" s="170">
        <f t="shared" si="3"/>
        <v>0</v>
      </c>
      <c r="I23" s="170">
        <f t="shared" si="3"/>
        <v>0</v>
      </c>
      <c r="J23" s="170">
        <f t="shared" si="3"/>
        <v>19925133</v>
      </c>
      <c r="K23" s="170">
        <f t="shared" si="3"/>
        <v>19935133</v>
      </c>
      <c r="L23" s="170">
        <f t="shared" si="3"/>
        <v>10097293</v>
      </c>
      <c r="M23" s="170">
        <f t="shared" si="3"/>
        <v>9827840</v>
      </c>
      <c r="N23" s="305">
        <f>L23/C23</f>
        <v>0.49015985436893206</v>
      </c>
    </row>
    <row r="24" spans="1:14" ht="15" thickBot="1">
      <c r="A24" s="164" t="s">
        <v>7</v>
      </c>
      <c r="B24" s="169"/>
      <c r="C24" s="170"/>
      <c r="D24" s="170"/>
      <c r="E24" s="170">
        <f aca="true" t="shared" si="4" ref="E24:L24">E21</f>
        <v>0</v>
      </c>
      <c r="F24" s="170">
        <f t="shared" si="4"/>
        <v>0</v>
      </c>
      <c r="G24" s="170">
        <f t="shared" si="4"/>
        <v>0</v>
      </c>
      <c r="H24" s="170">
        <f t="shared" si="4"/>
        <v>0</v>
      </c>
      <c r="I24" s="170">
        <f t="shared" si="4"/>
        <v>0</v>
      </c>
      <c r="J24" s="171">
        <f t="shared" si="4"/>
        <v>-100</v>
      </c>
      <c r="K24" s="171">
        <f t="shared" si="4"/>
        <v>-100</v>
      </c>
      <c r="L24" s="171">
        <f t="shared" si="4"/>
        <v>-100</v>
      </c>
      <c r="M24" s="170"/>
      <c r="N24" s="305"/>
    </row>
    <row r="25" spans="1:14" ht="24.75" customHeight="1">
      <c r="A25" s="172" t="s">
        <v>15</v>
      </c>
      <c r="B25" s="154" t="s">
        <v>172</v>
      </c>
      <c r="C25" s="155">
        <f>C26+C27+C28+C33</f>
        <v>1541000</v>
      </c>
      <c r="D25" s="155">
        <f aca="true" t="shared" si="5" ref="D25:M25">D26+D27+D28+D33</f>
        <v>982000</v>
      </c>
      <c r="E25" s="155">
        <f t="shared" si="5"/>
        <v>0</v>
      </c>
      <c r="F25" s="155">
        <f t="shared" si="5"/>
        <v>0</v>
      </c>
      <c r="G25" s="155">
        <f t="shared" si="5"/>
        <v>0</v>
      </c>
      <c r="H25" s="155">
        <f t="shared" si="5"/>
        <v>0</v>
      </c>
      <c r="I25" s="155">
        <f t="shared" si="5"/>
        <v>0</v>
      </c>
      <c r="J25" s="155">
        <f t="shared" si="5"/>
        <v>1489339</v>
      </c>
      <c r="K25" s="155">
        <f t="shared" si="5"/>
        <v>1489339</v>
      </c>
      <c r="L25" s="155">
        <f t="shared" si="5"/>
        <v>811368</v>
      </c>
      <c r="M25" s="155">
        <f t="shared" si="5"/>
        <v>677971</v>
      </c>
      <c r="N25" s="302">
        <f>L25/C25</f>
        <v>0.5265204412719013</v>
      </c>
    </row>
    <row r="26" spans="1:14" ht="15">
      <c r="A26" s="156" t="s">
        <v>160</v>
      </c>
      <c r="B26" s="378" t="s">
        <v>13</v>
      </c>
      <c r="C26" s="157">
        <v>1397000</v>
      </c>
      <c r="D26" s="157">
        <f>398000+449000</f>
        <v>847000</v>
      </c>
      <c r="E26" s="157"/>
      <c r="F26" s="157"/>
      <c r="G26" s="158"/>
      <c r="H26" s="159"/>
      <c r="I26" s="159"/>
      <c r="J26" s="157">
        <v>1397000</v>
      </c>
      <c r="K26" s="157">
        <v>1397000</v>
      </c>
      <c r="L26" s="157">
        <v>735557</v>
      </c>
      <c r="M26" s="157">
        <f>J26-L26</f>
        <v>661443</v>
      </c>
      <c r="N26" s="303">
        <f>L26/C26</f>
        <v>0.5265261274158912</v>
      </c>
    </row>
    <row r="27" spans="1:14" ht="15">
      <c r="A27" s="156" t="s">
        <v>161</v>
      </c>
      <c r="B27" s="380"/>
      <c r="C27" s="157">
        <v>116000</v>
      </c>
      <c r="D27" s="157">
        <v>116000</v>
      </c>
      <c r="E27" s="157"/>
      <c r="F27" s="157"/>
      <c r="G27" s="158"/>
      <c r="H27" s="382"/>
      <c r="I27" s="383"/>
      <c r="J27" s="157">
        <v>74339</v>
      </c>
      <c r="K27" s="157">
        <v>74339</v>
      </c>
      <c r="L27" s="157">
        <v>67601</v>
      </c>
      <c r="M27" s="157">
        <f>J27-L27</f>
        <v>6738</v>
      </c>
      <c r="N27" s="303">
        <f>L27/C27</f>
        <v>0.5827672413793104</v>
      </c>
    </row>
    <row r="28" spans="1:14" ht="15">
      <c r="A28" s="156" t="s">
        <v>237</v>
      </c>
      <c r="B28" s="173" t="s">
        <v>238</v>
      </c>
      <c r="C28" s="157">
        <v>10000</v>
      </c>
      <c r="D28" s="157">
        <v>10000</v>
      </c>
      <c r="E28" s="157"/>
      <c r="F28" s="157"/>
      <c r="G28" s="158"/>
      <c r="H28" s="162"/>
      <c r="I28" s="163"/>
      <c r="J28" s="157"/>
      <c r="K28" s="157"/>
      <c r="L28" s="157"/>
      <c r="M28" s="157">
        <f aca="true" t="shared" si="6" ref="M28:M33">J28-L28</f>
        <v>0</v>
      </c>
      <c r="N28" s="303"/>
    </row>
    <row r="29" spans="1:14" ht="15" hidden="1">
      <c r="A29" s="156" t="s">
        <v>1</v>
      </c>
      <c r="B29" s="161"/>
      <c r="C29" s="157">
        <f aca="true" t="shared" si="7" ref="C29:C35">D29+E29+F29+G29</f>
        <v>0</v>
      </c>
      <c r="D29" s="157"/>
      <c r="E29" s="157"/>
      <c r="F29" s="157"/>
      <c r="G29" s="158"/>
      <c r="H29" s="162"/>
      <c r="I29" s="163"/>
      <c r="J29" s="157"/>
      <c r="K29" s="157"/>
      <c r="L29" s="157"/>
      <c r="M29" s="157">
        <f t="shared" si="6"/>
        <v>0</v>
      </c>
      <c r="N29" s="303"/>
    </row>
    <row r="30" spans="1:14" ht="15" hidden="1">
      <c r="A30" s="156" t="s">
        <v>159</v>
      </c>
      <c r="B30" s="161"/>
      <c r="C30" s="157">
        <f t="shared" si="7"/>
        <v>0</v>
      </c>
      <c r="D30" s="157"/>
      <c r="E30" s="157"/>
      <c r="F30" s="157"/>
      <c r="G30" s="158"/>
      <c r="H30" s="162"/>
      <c r="I30" s="163"/>
      <c r="J30" s="157"/>
      <c r="K30" s="157"/>
      <c r="L30" s="157"/>
      <c r="M30" s="157">
        <f t="shared" si="6"/>
        <v>0</v>
      </c>
      <c r="N30" s="303"/>
    </row>
    <row r="31" spans="1:14" ht="15" hidden="1">
      <c r="A31" s="156" t="s">
        <v>2</v>
      </c>
      <c r="B31" s="161"/>
      <c r="C31" s="157">
        <f t="shared" si="7"/>
        <v>0</v>
      </c>
      <c r="D31" s="157"/>
      <c r="E31" s="157"/>
      <c r="F31" s="157"/>
      <c r="G31" s="158"/>
      <c r="H31" s="162"/>
      <c r="I31" s="163"/>
      <c r="J31" s="157"/>
      <c r="K31" s="157"/>
      <c r="L31" s="157"/>
      <c r="M31" s="157">
        <f t="shared" si="6"/>
        <v>0</v>
      </c>
      <c r="N31" s="303"/>
    </row>
    <row r="32" spans="1:14" ht="15" hidden="1">
      <c r="A32" s="156" t="s">
        <v>3</v>
      </c>
      <c r="B32" s="161"/>
      <c r="C32" s="157">
        <f t="shared" si="7"/>
        <v>0</v>
      </c>
      <c r="D32" s="157"/>
      <c r="E32" s="157"/>
      <c r="F32" s="157"/>
      <c r="G32" s="158"/>
      <c r="H32" s="162"/>
      <c r="I32" s="163"/>
      <c r="J32" s="157"/>
      <c r="K32" s="157"/>
      <c r="L32" s="157"/>
      <c r="M32" s="157">
        <f t="shared" si="6"/>
        <v>0</v>
      </c>
      <c r="N32" s="303"/>
    </row>
    <row r="33" spans="1:14" ht="15">
      <c r="A33" s="156" t="s">
        <v>4</v>
      </c>
      <c r="B33" s="298" t="s">
        <v>13</v>
      </c>
      <c r="C33" s="157">
        <v>18000</v>
      </c>
      <c r="D33" s="157">
        <v>9000</v>
      </c>
      <c r="E33" s="157"/>
      <c r="F33" s="157"/>
      <c r="G33" s="158"/>
      <c r="H33" s="162"/>
      <c r="I33" s="163"/>
      <c r="J33" s="157">
        <v>18000</v>
      </c>
      <c r="K33" s="157">
        <v>18000</v>
      </c>
      <c r="L33" s="157">
        <v>8210</v>
      </c>
      <c r="M33" s="157">
        <f t="shared" si="6"/>
        <v>9790</v>
      </c>
      <c r="N33" s="303">
        <f>L33/C33</f>
        <v>0.45611111111111113</v>
      </c>
    </row>
    <row r="34" spans="1:14" ht="15" hidden="1">
      <c r="A34" s="156" t="s">
        <v>5</v>
      </c>
      <c r="B34" s="161"/>
      <c r="C34" s="157">
        <f t="shared" si="7"/>
        <v>0</v>
      </c>
      <c r="D34" s="157"/>
      <c r="E34" s="157"/>
      <c r="F34" s="157"/>
      <c r="G34" s="158"/>
      <c r="H34" s="162"/>
      <c r="I34" s="163"/>
      <c r="J34" s="157"/>
      <c r="K34" s="157"/>
      <c r="L34" s="157"/>
      <c r="M34" s="157"/>
      <c r="N34" s="303"/>
    </row>
    <row r="35" spans="1:14" ht="15" hidden="1">
      <c r="A35" s="156" t="s">
        <v>6</v>
      </c>
      <c r="B35" s="161"/>
      <c r="C35" s="157">
        <f t="shared" si="7"/>
        <v>0</v>
      </c>
      <c r="D35" s="157"/>
      <c r="E35" s="157"/>
      <c r="F35" s="157"/>
      <c r="G35" s="158"/>
      <c r="H35" s="162"/>
      <c r="I35" s="163"/>
      <c r="J35" s="157"/>
      <c r="K35" s="157"/>
      <c r="L35" s="157"/>
      <c r="M35" s="157"/>
      <c r="N35" s="303"/>
    </row>
    <row r="36" spans="1:14" ht="15">
      <c r="A36" s="164" t="s">
        <v>7</v>
      </c>
      <c r="B36" s="161"/>
      <c r="C36" s="157"/>
      <c r="D36" s="157"/>
      <c r="E36" s="157"/>
      <c r="F36" s="157"/>
      <c r="G36" s="158"/>
      <c r="H36" s="162"/>
      <c r="I36" s="163"/>
      <c r="J36" s="157"/>
      <c r="K36" s="157"/>
      <c r="L36" s="157"/>
      <c r="M36" s="157"/>
      <c r="N36" s="303"/>
    </row>
    <row r="37" spans="1:14" ht="15">
      <c r="A37" s="166" t="s">
        <v>8</v>
      </c>
      <c r="B37" s="161"/>
      <c r="C37" s="157"/>
      <c r="D37" s="157"/>
      <c r="E37" s="157"/>
      <c r="F37" s="157"/>
      <c r="G37" s="158"/>
      <c r="H37" s="162" t="s">
        <v>112</v>
      </c>
      <c r="I37" s="167">
        <f>C26+C27</f>
        <v>1513000</v>
      </c>
      <c r="J37" s="157"/>
      <c r="K37" s="157"/>
      <c r="L37" s="157"/>
      <c r="M37" s="157"/>
      <c r="N37" s="303"/>
    </row>
    <row r="38" spans="1:14" ht="15">
      <c r="A38" s="174" t="s">
        <v>237</v>
      </c>
      <c r="B38" s="169" t="s">
        <v>238</v>
      </c>
      <c r="C38" s="175">
        <f>C28</f>
        <v>10000</v>
      </c>
      <c r="D38" s="175">
        <f aca="true" t="shared" si="8" ref="D38:M38">D28</f>
        <v>10000</v>
      </c>
      <c r="E38" s="175">
        <f t="shared" si="8"/>
        <v>0</v>
      </c>
      <c r="F38" s="175">
        <f t="shared" si="8"/>
        <v>0</v>
      </c>
      <c r="G38" s="175">
        <f t="shared" si="8"/>
        <v>0</v>
      </c>
      <c r="H38" s="175">
        <f t="shared" si="8"/>
        <v>0</v>
      </c>
      <c r="I38" s="175">
        <f t="shared" si="8"/>
        <v>0</v>
      </c>
      <c r="J38" s="175">
        <f t="shared" si="8"/>
        <v>0</v>
      </c>
      <c r="K38" s="175">
        <f t="shared" si="8"/>
        <v>0</v>
      </c>
      <c r="L38" s="175">
        <f t="shared" si="8"/>
        <v>0</v>
      </c>
      <c r="M38" s="175">
        <f t="shared" si="8"/>
        <v>0</v>
      </c>
      <c r="N38" s="306"/>
    </row>
    <row r="39" spans="1:14" ht="14.25">
      <c r="A39" s="168" t="s">
        <v>12</v>
      </c>
      <c r="B39" s="169" t="s">
        <v>13</v>
      </c>
      <c r="C39" s="170">
        <f>C27+C26+C33</f>
        <v>1531000</v>
      </c>
      <c r="D39" s="170">
        <f aca="true" t="shared" si="9" ref="D39:M39">D27+D26+D33</f>
        <v>972000</v>
      </c>
      <c r="E39" s="170">
        <f t="shared" si="9"/>
        <v>0</v>
      </c>
      <c r="F39" s="170">
        <f t="shared" si="9"/>
        <v>0</v>
      </c>
      <c r="G39" s="170">
        <f t="shared" si="9"/>
        <v>0</v>
      </c>
      <c r="H39" s="170">
        <f t="shared" si="9"/>
        <v>0</v>
      </c>
      <c r="I39" s="170">
        <f t="shared" si="9"/>
        <v>0</v>
      </c>
      <c r="J39" s="170">
        <f t="shared" si="9"/>
        <v>1489339</v>
      </c>
      <c r="K39" s="170">
        <f t="shared" si="9"/>
        <v>1489339</v>
      </c>
      <c r="L39" s="170">
        <f t="shared" si="9"/>
        <v>811368</v>
      </c>
      <c r="M39" s="170">
        <f t="shared" si="9"/>
        <v>677971</v>
      </c>
      <c r="N39" s="305">
        <f>L39/C39</f>
        <v>0.5299595035924233</v>
      </c>
    </row>
    <row r="40" spans="1:14" ht="15.75" thickBot="1">
      <c r="A40" s="164" t="s">
        <v>7</v>
      </c>
      <c r="B40" s="169"/>
      <c r="C40" s="170"/>
      <c r="D40" s="170"/>
      <c r="E40" s="170"/>
      <c r="F40" s="170"/>
      <c r="G40" s="170"/>
      <c r="H40" s="163"/>
      <c r="I40" s="167"/>
      <c r="J40" s="170">
        <f>J36</f>
        <v>0</v>
      </c>
      <c r="K40" s="170">
        <f>K36</f>
        <v>0</v>
      </c>
      <c r="L40" s="170">
        <f>L36</f>
        <v>0</v>
      </c>
      <c r="M40" s="170"/>
      <c r="N40" s="305"/>
    </row>
    <row r="41" spans="1:14" ht="24.75" customHeight="1">
      <c r="A41" s="172" t="s">
        <v>24</v>
      </c>
      <c r="B41" s="154" t="s">
        <v>172</v>
      </c>
      <c r="C41" s="155">
        <f>C42+C43</f>
        <v>3798000</v>
      </c>
      <c r="D41" s="155">
        <f aca="true" t="shared" si="10" ref="D41:M41">D42+D43</f>
        <v>3300000</v>
      </c>
      <c r="E41" s="155">
        <f t="shared" si="10"/>
        <v>2760700</v>
      </c>
      <c r="F41" s="155">
        <f t="shared" si="10"/>
        <v>630700</v>
      </c>
      <c r="G41" s="155">
        <f t="shared" si="10"/>
        <v>1408100</v>
      </c>
      <c r="H41" s="155" t="e">
        <f t="shared" si="10"/>
        <v>#VALUE!</v>
      </c>
      <c r="I41" s="155">
        <f t="shared" si="10"/>
        <v>3798000</v>
      </c>
      <c r="J41" s="155">
        <f>J42+J43+J44</f>
        <v>3700000</v>
      </c>
      <c r="K41" s="155">
        <f>K42+K43+K44</f>
        <v>3700000</v>
      </c>
      <c r="L41" s="155">
        <f>L42+L43+L44</f>
        <v>2013667</v>
      </c>
      <c r="M41" s="155">
        <f t="shared" si="10"/>
        <v>1686333</v>
      </c>
      <c r="N41" s="302">
        <f>L41/C41</f>
        <v>0.5301914165350184</v>
      </c>
    </row>
    <row r="42" spans="1:14" ht="15">
      <c r="A42" s="156" t="s">
        <v>0</v>
      </c>
      <c r="B42" s="176"/>
      <c r="C42" s="157">
        <v>3700000</v>
      </c>
      <c r="D42" s="157">
        <f>1500000+1800000</f>
        <v>3300000</v>
      </c>
      <c r="E42" s="157">
        <v>2730000</v>
      </c>
      <c r="F42" s="157">
        <v>620000</v>
      </c>
      <c r="G42" s="158">
        <v>1310000</v>
      </c>
      <c r="H42" s="382" t="s">
        <v>123</v>
      </c>
      <c r="I42" s="383"/>
      <c r="J42" s="157">
        <v>3700000</v>
      </c>
      <c r="K42" s="157">
        <v>3700000</v>
      </c>
      <c r="L42" s="157">
        <f>603667+450000+960000</f>
        <v>2013667</v>
      </c>
      <c r="M42" s="157">
        <f>J42-L42</f>
        <v>1686333</v>
      </c>
      <c r="N42" s="303">
        <f>L42/C42</f>
        <v>0.5442343243243243</v>
      </c>
    </row>
    <row r="43" spans="1:14" ht="15">
      <c r="A43" s="177" t="s">
        <v>14</v>
      </c>
      <c r="B43" s="178"/>
      <c r="C43" s="179">
        <v>98000</v>
      </c>
      <c r="D43" s="179">
        <v>0</v>
      </c>
      <c r="E43" s="179">
        <v>30700</v>
      </c>
      <c r="F43" s="179">
        <v>10700</v>
      </c>
      <c r="G43" s="180">
        <v>98100</v>
      </c>
      <c r="H43" s="162" t="s">
        <v>112</v>
      </c>
      <c r="I43" s="167">
        <f>C42+C43</f>
        <v>3798000</v>
      </c>
      <c r="J43" s="179">
        <v>0</v>
      </c>
      <c r="K43" s="179">
        <v>0</v>
      </c>
      <c r="L43" s="179">
        <v>0</v>
      </c>
      <c r="M43" s="179">
        <f>J43-L43</f>
        <v>0</v>
      </c>
      <c r="N43" s="307"/>
    </row>
    <row r="44" spans="1:14" ht="15.75" thickBot="1">
      <c r="A44" s="164" t="s">
        <v>7</v>
      </c>
      <c r="B44" s="169"/>
      <c r="C44" s="170"/>
      <c r="D44" s="170"/>
      <c r="E44" s="170"/>
      <c r="F44" s="170"/>
      <c r="G44" s="170"/>
      <c r="H44" s="163"/>
      <c r="I44" s="167"/>
      <c r="J44" s="171"/>
      <c r="K44" s="171"/>
      <c r="L44" s="171"/>
      <c r="M44" s="170"/>
      <c r="N44" s="305"/>
    </row>
    <row r="45" spans="1:14" ht="24.75" customHeight="1">
      <c r="A45" s="172" t="s">
        <v>16</v>
      </c>
      <c r="B45" s="181" t="s">
        <v>172</v>
      </c>
      <c r="C45" s="182">
        <f>C46+C47+C58</f>
        <v>6401000</v>
      </c>
      <c r="D45" s="182">
        <f aca="true" t="shared" si="11" ref="D45:M45">D46+D47+D58</f>
        <v>4083000</v>
      </c>
      <c r="E45" s="182">
        <f t="shared" si="11"/>
        <v>1510000</v>
      </c>
      <c r="F45" s="182">
        <f t="shared" si="11"/>
        <v>1510000</v>
      </c>
      <c r="G45" s="182">
        <f t="shared" si="11"/>
        <v>1227700</v>
      </c>
      <c r="H45" s="182">
        <f t="shared" si="11"/>
        <v>800000</v>
      </c>
      <c r="I45" s="182">
        <f t="shared" si="11"/>
        <v>800000</v>
      </c>
      <c r="J45" s="182">
        <f t="shared" si="11"/>
        <v>3943993</v>
      </c>
      <c r="K45" s="182">
        <f t="shared" si="11"/>
        <v>3943993</v>
      </c>
      <c r="L45" s="182">
        <f t="shared" si="11"/>
        <v>3561635</v>
      </c>
      <c r="M45" s="182">
        <f t="shared" si="11"/>
        <v>382358</v>
      </c>
      <c r="N45" s="308">
        <f>L45/C45</f>
        <v>0.5564185283549445</v>
      </c>
    </row>
    <row r="46" spans="1:14" ht="15">
      <c r="A46" s="156" t="s">
        <v>160</v>
      </c>
      <c r="B46" s="183" t="s">
        <v>21</v>
      </c>
      <c r="C46" s="157">
        <v>5900000</v>
      </c>
      <c r="D46" s="157">
        <f>1840000+1864000</f>
        <v>3704000</v>
      </c>
      <c r="E46" s="157">
        <v>800000</v>
      </c>
      <c r="F46" s="157">
        <v>800000</v>
      </c>
      <c r="G46" s="157">
        <v>800000</v>
      </c>
      <c r="H46" s="157">
        <v>800000</v>
      </c>
      <c r="I46" s="157">
        <v>800000</v>
      </c>
      <c r="J46" s="157">
        <v>3704000</v>
      </c>
      <c r="K46" s="157">
        <v>3704000</v>
      </c>
      <c r="L46" s="157">
        <v>3337874</v>
      </c>
      <c r="M46" s="157">
        <f>J46-L46</f>
        <v>366126</v>
      </c>
      <c r="N46" s="303">
        <f>L46/C46</f>
        <v>0.5657413559322034</v>
      </c>
    </row>
    <row r="47" spans="1:14" ht="14.25">
      <c r="A47" s="156" t="s">
        <v>175</v>
      </c>
      <c r="B47" s="183"/>
      <c r="C47" s="184">
        <f>C48+C49</f>
        <v>501000</v>
      </c>
      <c r="D47" s="184">
        <f aca="true" t="shared" si="12" ref="D47:M47">D48+D49</f>
        <v>379000</v>
      </c>
      <c r="E47" s="184">
        <f t="shared" si="12"/>
        <v>710000</v>
      </c>
      <c r="F47" s="184">
        <f t="shared" si="12"/>
        <v>710000</v>
      </c>
      <c r="G47" s="184">
        <f t="shared" si="12"/>
        <v>427700</v>
      </c>
      <c r="H47" s="184">
        <f t="shared" si="12"/>
        <v>0</v>
      </c>
      <c r="I47" s="184">
        <f t="shared" si="12"/>
        <v>0</v>
      </c>
      <c r="J47" s="184">
        <f t="shared" si="12"/>
        <v>239993</v>
      </c>
      <c r="K47" s="184">
        <f t="shared" si="12"/>
        <v>239993</v>
      </c>
      <c r="L47" s="184">
        <f t="shared" si="12"/>
        <v>223761</v>
      </c>
      <c r="M47" s="184">
        <f t="shared" si="12"/>
        <v>16232</v>
      </c>
      <c r="N47" s="309">
        <f>L47/C47</f>
        <v>0.44662874251497003</v>
      </c>
    </row>
    <row r="48" spans="1:14" ht="15">
      <c r="A48" s="185" t="s">
        <v>17</v>
      </c>
      <c r="B48" s="183" t="s">
        <v>21</v>
      </c>
      <c r="C48" s="157">
        <v>440000</v>
      </c>
      <c r="D48" s="157">
        <f>91000+241000</f>
        <v>332000</v>
      </c>
      <c r="E48" s="157">
        <v>700000</v>
      </c>
      <c r="F48" s="157">
        <v>700000</v>
      </c>
      <c r="G48" s="158">
        <v>427700</v>
      </c>
      <c r="H48" s="159"/>
      <c r="I48" s="159"/>
      <c r="J48" s="157">
        <v>199083</v>
      </c>
      <c r="K48" s="157">
        <v>199083</v>
      </c>
      <c r="L48" s="157">
        <v>199083</v>
      </c>
      <c r="M48" s="157">
        <f>J48-L48</f>
        <v>0</v>
      </c>
      <c r="N48" s="303">
        <f>L48/C48</f>
        <v>0.45246136363636363</v>
      </c>
    </row>
    <row r="49" spans="1:14" ht="15">
      <c r="A49" s="185" t="s">
        <v>18</v>
      </c>
      <c r="B49" s="183" t="s">
        <v>22</v>
      </c>
      <c r="C49" s="157">
        <v>61000</v>
      </c>
      <c r="D49" s="157">
        <v>47000</v>
      </c>
      <c r="E49" s="157">
        <v>10000</v>
      </c>
      <c r="F49" s="157">
        <v>10000</v>
      </c>
      <c r="G49" s="158"/>
      <c r="H49" s="159"/>
      <c r="I49" s="159"/>
      <c r="J49" s="157">
        <v>40910</v>
      </c>
      <c r="K49" s="157">
        <v>40910</v>
      </c>
      <c r="L49" s="157">
        <f>12594+12084</f>
        <v>24678</v>
      </c>
      <c r="M49" s="157">
        <f>J49-L49</f>
        <v>16232</v>
      </c>
      <c r="N49" s="303">
        <f>L49/C49</f>
        <v>0.4045573770491803</v>
      </c>
    </row>
    <row r="50" spans="1:14" ht="15" hidden="1">
      <c r="A50" s="156" t="s">
        <v>0</v>
      </c>
      <c r="B50" s="161"/>
      <c r="C50" s="157">
        <f aca="true" t="shared" si="13" ref="C50:C57">D50+E50+F50+G50</f>
        <v>0</v>
      </c>
      <c r="D50" s="157"/>
      <c r="E50" s="157"/>
      <c r="F50" s="157"/>
      <c r="G50" s="158"/>
      <c r="H50" s="159"/>
      <c r="I50" s="159"/>
      <c r="J50" s="157"/>
      <c r="K50" s="157"/>
      <c r="L50" s="157"/>
      <c r="M50" s="157"/>
      <c r="N50" s="303"/>
    </row>
    <row r="51" spans="1:14" ht="15" hidden="1">
      <c r="A51" s="156" t="s">
        <v>1</v>
      </c>
      <c r="B51" s="161"/>
      <c r="C51" s="157">
        <f t="shared" si="13"/>
        <v>0</v>
      </c>
      <c r="D51" s="157"/>
      <c r="E51" s="157"/>
      <c r="F51" s="157"/>
      <c r="G51" s="158"/>
      <c r="H51" s="159"/>
      <c r="I51" s="159"/>
      <c r="J51" s="157"/>
      <c r="K51" s="157"/>
      <c r="L51" s="157"/>
      <c r="M51" s="157"/>
      <c r="N51" s="303"/>
    </row>
    <row r="52" spans="1:14" ht="15" hidden="1">
      <c r="A52" s="156" t="s">
        <v>159</v>
      </c>
      <c r="B52" s="161"/>
      <c r="C52" s="157">
        <f t="shared" si="13"/>
        <v>0</v>
      </c>
      <c r="D52" s="157"/>
      <c r="E52" s="157"/>
      <c r="F52" s="157"/>
      <c r="G52" s="158"/>
      <c r="H52" s="159"/>
      <c r="I52" s="159"/>
      <c r="J52" s="157"/>
      <c r="K52" s="157"/>
      <c r="L52" s="157"/>
      <c r="M52" s="157"/>
      <c r="N52" s="303"/>
    </row>
    <row r="53" spans="1:14" ht="15" hidden="1">
      <c r="A53" s="156" t="s">
        <v>2</v>
      </c>
      <c r="B53" s="161"/>
      <c r="C53" s="157">
        <f t="shared" si="13"/>
        <v>0</v>
      </c>
      <c r="D53" s="157"/>
      <c r="E53" s="157"/>
      <c r="F53" s="157"/>
      <c r="G53" s="158"/>
      <c r="H53" s="159"/>
      <c r="I53" s="159"/>
      <c r="J53" s="157"/>
      <c r="K53" s="157"/>
      <c r="L53" s="157"/>
      <c r="M53" s="157"/>
      <c r="N53" s="303"/>
    </row>
    <row r="54" spans="1:14" ht="15" hidden="1">
      <c r="A54" s="156" t="s">
        <v>3</v>
      </c>
      <c r="B54" s="161"/>
      <c r="C54" s="157">
        <f t="shared" si="13"/>
        <v>0</v>
      </c>
      <c r="D54" s="157"/>
      <c r="E54" s="157"/>
      <c r="F54" s="157"/>
      <c r="G54" s="158"/>
      <c r="H54" s="159"/>
      <c r="I54" s="159"/>
      <c r="J54" s="157"/>
      <c r="K54" s="157"/>
      <c r="L54" s="157"/>
      <c r="M54" s="157"/>
      <c r="N54" s="303"/>
    </row>
    <row r="55" spans="1:14" ht="15" hidden="1">
      <c r="A55" s="156" t="s">
        <v>4</v>
      </c>
      <c r="B55" s="161"/>
      <c r="C55" s="157">
        <f t="shared" si="13"/>
        <v>0</v>
      </c>
      <c r="D55" s="157"/>
      <c r="E55" s="157"/>
      <c r="F55" s="157"/>
      <c r="G55" s="158"/>
      <c r="H55" s="159"/>
      <c r="I55" s="159"/>
      <c r="J55" s="157"/>
      <c r="K55" s="157"/>
      <c r="L55" s="157"/>
      <c r="M55" s="157"/>
      <c r="N55" s="303"/>
    </row>
    <row r="56" spans="1:14" ht="15" hidden="1">
      <c r="A56" s="156" t="s">
        <v>5</v>
      </c>
      <c r="B56" s="161"/>
      <c r="C56" s="157">
        <f t="shared" si="13"/>
        <v>0</v>
      </c>
      <c r="D56" s="157"/>
      <c r="E56" s="157"/>
      <c r="F56" s="157"/>
      <c r="G56" s="158"/>
      <c r="H56" s="159"/>
      <c r="I56" s="159"/>
      <c r="J56" s="157"/>
      <c r="K56" s="157"/>
      <c r="L56" s="157"/>
      <c r="M56" s="157"/>
      <c r="N56" s="303"/>
    </row>
    <row r="57" spans="1:14" ht="15" hidden="1">
      <c r="A57" s="156" t="s">
        <v>6</v>
      </c>
      <c r="B57" s="161"/>
      <c r="C57" s="157">
        <f t="shared" si="13"/>
        <v>0</v>
      </c>
      <c r="D57" s="157"/>
      <c r="E57" s="157"/>
      <c r="F57" s="157"/>
      <c r="G57" s="158"/>
      <c r="H57" s="159"/>
      <c r="I57" s="159"/>
      <c r="J57" s="157"/>
      <c r="K57" s="157"/>
      <c r="L57" s="157"/>
      <c r="M57" s="157"/>
      <c r="N57" s="303"/>
    </row>
    <row r="58" spans="1:14" ht="15">
      <c r="A58" s="164" t="s">
        <v>7</v>
      </c>
      <c r="B58" s="161"/>
      <c r="C58" s="157"/>
      <c r="D58" s="157"/>
      <c r="E58" s="157"/>
      <c r="F58" s="157"/>
      <c r="G58" s="158"/>
      <c r="H58" s="159"/>
      <c r="I58" s="159"/>
      <c r="J58" s="165">
        <f>K58</f>
        <v>0</v>
      </c>
      <c r="K58" s="165">
        <f>L58</f>
        <v>0</v>
      </c>
      <c r="L58" s="165">
        <v>0</v>
      </c>
      <c r="M58" s="157"/>
      <c r="N58" s="303"/>
    </row>
    <row r="59" spans="1:14" ht="15">
      <c r="A59" s="166" t="s">
        <v>8</v>
      </c>
      <c r="B59" s="161"/>
      <c r="C59" s="157"/>
      <c r="D59" s="157"/>
      <c r="E59" s="157"/>
      <c r="F59" s="157"/>
      <c r="G59" s="158"/>
      <c r="H59" s="159"/>
      <c r="I59" s="159"/>
      <c r="J59" s="157"/>
      <c r="K59" s="157"/>
      <c r="L59" s="157"/>
      <c r="M59" s="157"/>
      <c r="N59" s="303"/>
    </row>
    <row r="60" spans="1:14" ht="15">
      <c r="A60" s="174" t="s">
        <v>17</v>
      </c>
      <c r="B60" s="169" t="s">
        <v>21</v>
      </c>
      <c r="C60" s="170">
        <f>C48+C46</f>
        <v>6340000</v>
      </c>
      <c r="D60" s="170">
        <f>D48+D46</f>
        <v>4036000</v>
      </c>
      <c r="E60" s="170">
        <f>E46+E48</f>
        <v>1500000</v>
      </c>
      <c r="F60" s="170">
        <f>F46+F48</f>
        <v>1500000</v>
      </c>
      <c r="G60" s="186">
        <f>G46+G48</f>
        <v>1227700</v>
      </c>
      <c r="H60" s="382" t="s">
        <v>122</v>
      </c>
      <c r="I60" s="383"/>
      <c r="J60" s="170">
        <f>J48+J46</f>
        <v>3903083</v>
      </c>
      <c r="K60" s="170">
        <f>K48+K46</f>
        <v>3903083</v>
      </c>
      <c r="L60" s="170">
        <f>L48+L46</f>
        <v>3536957</v>
      </c>
      <c r="M60" s="170">
        <f>J60-L60</f>
        <v>366126</v>
      </c>
      <c r="N60" s="305">
        <f>L60/C60</f>
        <v>0.5578796529968454</v>
      </c>
    </row>
    <row r="61" spans="1:14" ht="14.25">
      <c r="A61" s="174" t="s">
        <v>19</v>
      </c>
      <c r="B61" s="169" t="s">
        <v>22</v>
      </c>
      <c r="C61" s="170">
        <f>C49</f>
        <v>61000</v>
      </c>
      <c r="D61" s="170">
        <f aca="true" t="shared" si="14" ref="D61:M61">D49</f>
        <v>47000</v>
      </c>
      <c r="E61" s="170">
        <f t="shared" si="14"/>
        <v>10000</v>
      </c>
      <c r="F61" s="170">
        <f t="shared" si="14"/>
        <v>10000</v>
      </c>
      <c r="G61" s="170">
        <f t="shared" si="14"/>
        <v>0</v>
      </c>
      <c r="H61" s="170">
        <f t="shared" si="14"/>
        <v>0</v>
      </c>
      <c r="I61" s="170">
        <f t="shared" si="14"/>
        <v>0</v>
      </c>
      <c r="J61" s="170">
        <f t="shared" si="14"/>
        <v>40910</v>
      </c>
      <c r="K61" s="170">
        <f t="shared" si="14"/>
        <v>40910</v>
      </c>
      <c r="L61" s="170">
        <f t="shared" si="14"/>
        <v>24678</v>
      </c>
      <c r="M61" s="170">
        <f t="shared" si="14"/>
        <v>16232</v>
      </c>
      <c r="N61" s="305">
        <f>L61/C61</f>
        <v>0.4045573770491803</v>
      </c>
    </row>
    <row r="62" spans="1:14" ht="15">
      <c r="A62" s="168" t="s">
        <v>20</v>
      </c>
      <c r="B62" s="169" t="s">
        <v>23</v>
      </c>
      <c r="C62" s="170">
        <f>D62+E62+F62+G62</f>
        <v>0</v>
      </c>
      <c r="D62" s="170"/>
      <c r="E62" s="170"/>
      <c r="F62" s="170"/>
      <c r="G62" s="170"/>
      <c r="H62" s="163" t="s">
        <v>113</v>
      </c>
      <c r="I62" s="167">
        <f>C60+C61+C62</f>
        <v>6401000</v>
      </c>
      <c r="J62" s="170"/>
      <c r="K62" s="170"/>
      <c r="L62" s="170"/>
      <c r="M62" s="170">
        <f>J62-L62</f>
        <v>0</v>
      </c>
      <c r="N62" s="305"/>
    </row>
    <row r="63" spans="1:14" ht="15.75" thickBot="1">
      <c r="A63" s="164" t="s">
        <v>7</v>
      </c>
      <c r="B63" s="169"/>
      <c r="C63" s="170"/>
      <c r="D63" s="170"/>
      <c r="E63" s="170"/>
      <c r="F63" s="170"/>
      <c r="G63" s="170"/>
      <c r="H63" s="163"/>
      <c r="I63" s="167"/>
      <c r="J63" s="171">
        <f>J58</f>
        <v>0</v>
      </c>
      <c r="K63" s="171">
        <f>K58</f>
        <v>0</v>
      </c>
      <c r="L63" s="171">
        <f>L58</f>
        <v>0</v>
      </c>
      <c r="M63" s="170"/>
      <c r="N63" s="305"/>
    </row>
    <row r="64" spans="1:14" ht="24.75" customHeight="1">
      <c r="A64" s="172" t="s">
        <v>25</v>
      </c>
      <c r="B64" s="154" t="s">
        <v>172</v>
      </c>
      <c r="C64" s="155">
        <f>C65+C66+C71+C72+C75+C70</f>
        <v>14597837</v>
      </c>
      <c r="D64" s="155">
        <f aca="true" t="shared" si="15" ref="D64:M64">D65+D66+D71+D72+D75+D70</f>
        <v>7923579</v>
      </c>
      <c r="E64" s="155">
        <f t="shared" si="15"/>
        <v>0</v>
      </c>
      <c r="F64" s="155">
        <f t="shared" si="15"/>
        <v>0</v>
      </c>
      <c r="G64" s="155">
        <f t="shared" si="15"/>
        <v>0</v>
      </c>
      <c r="H64" s="155">
        <f t="shared" si="15"/>
        <v>0</v>
      </c>
      <c r="I64" s="155">
        <f t="shared" si="15"/>
        <v>0</v>
      </c>
      <c r="J64" s="155">
        <f t="shared" si="15"/>
        <v>7046072</v>
      </c>
      <c r="K64" s="155">
        <f t="shared" si="15"/>
        <v>7046072</v>
      </c>
      <c r="L64" s="155">
        <f t="shared" si="15"/>
        <v>6202689</v>
      </c>
      <c r="M64" s="155">
        <f t="shared" si="15"/>
        <v>843383</v>
      </c>
      <c r="N64" s="302">
        <f>L64/C64</f>
        <v>0.4249046622455094</v>
      </c>
    </row>
    <row r="65" spans="1:14" ht="15">
      <c r="A65" s="156" t="s">
        <v>160</v>
      </c>
      <c r="B65" s="176"/>
      <c r="C65" s="157">
        <v>400000</v>
      </c>
      <c r="D65" s="157">
        <f>131305+166695</f>
        <v>298000</v>
      </c>
      <c r="E65" s="157"/>
      <c r="F65" s="157"/>
      <c r="G65" s="158"/>
      <c r="H65" s="159"/>
      <c r="I65" s="159"/>
      <c r="J65" s="157">
        <v>280361</v>
      </c>
      <c r="K65" s="157">
        <v>280361</v>
      </c>
      <c r="L65" s="157">
        <v>280361</v>
      </c>
      <c r="M65" s="157">
        <f aca="true" t="shared" si="16" ref="M65:M72">J65-L65</f>
        <v>0</v>
      </c>
      <c r="N65" s="303">
        <f>L65/C65</f>
        <v>0.7009025</v>
      </c>
    </row>
    <row r="66" spans="1:14" ht="15">
      <c r="A66" s="156" t="s">
        <v>161</v>
      </c>
      <c r="B66" s="176"/>
      <c r="C66" s="157">
        <v>12835834</v>
      </c>
      <c r="D66" s="157">
        <f>3486029+3329250</f>
        <v>6815279</v>
      </c>
      <c r="E66" s="157"/>
      <c r="F66" s="157"/>
      <c r="G66" s="158"/>
      <c r="H66" s="159"/>
      <c r="I66" s="159"/>
      <c r="J66" s="157">
        <v>6074214</v>
      </c>
      <c r="K66" s="157">
        <v>6074214</v>
      </c>
      <c r="L66" s="157">
        <v>5245081</v>
      </c>
      <c r="M66" s="157">
        <f t="shared" si="16"/>
        <v>829133</v>
      </c>
      <c r="N66" s="303">
        <f>L66/C66</f>
        <v>0.408627986307707</v>
      </c>
    </row>
    <row r="67" spans="1:14" ht="15" hidden="1">
      <c r="A67" s="156" t="s">
        <v>0</v>
      </c>
      <c r="B67" s="176"/>
      <c r="C67" s="157"/>
      <c r="D67" s="157"/>
      <c r="E67" s="157"/>
      <c r="F67" s="157"/>
      <c r="G67" s="158"/>
      <c r="H67" s="159"/>
      <c r="I67" s="159"/>
      <c r="J67" s="157"/>
      <c r="K67" s="157"/>
      <c r="L67" s="157"/>
      <c r="M67" s="157">
        <f t="shared" si="16"/>
        <v>0</v>
      </c>
      <c r="N67" s="303"/>
    </row>
    <row r="68" spans="1:14" ht="15" hidden="1">
      <c r="A68" s="156" t="s">
        <v>1</v>
      </c>
      <c r="B68" s="176"/>
      <c r="C68" s="157"/>
      <c r="D68" s="157"/>
      <c r="E68" s="157"/>
      <c r="F68" s="157"/>
      <c r="G68" s="158"/>
      <c r="H68" s="159"/>
      <c r="I68" s="159"/>
      <c r="J68" s="157"/>
      <c r="K68" s="157"/>
      <c r="L68" s="157"/>
      <c r="M68" s="157">
        <f t="shared" si="16"/>
        <v>0</v>
      </c>
      <c r="N68" s="303"/>
    </row>
    <row r="69" spans="1:14" ht="15" hidden="1">
      <c r="A69" s="156" t="s">
        <v>159</v>
      </c>
      <c r="B69" s="176"/>
      <c r="C69" s="157"/>
      <c r="D69" s="157"/>
      <c r="E69" s="157"/>
      <c r="F69" s="157"/>
      <c r="G69" s="158"/>
      <c r="H69" s="159"/>
      <c r="I69" s="159"/>
      <c r="J69" s="157"/>
      <c r="K69" s="157"/>
      <c r="L69" s="157"/>
      <c r="M69" s="157">
        <f t="shared" si="16"/>
        <v>0</v>
      </c>
      <c r="N69" s="303"/>
    </row>
    <row r="70" spans="1:14" ht="15">
      <c r="A70" s="156" t="s">
        <v>2</v>
      </c>
      <c r="B70" s="176"/>
      <c r="C70" s="157">
        <v>193000</v>
      </c>
      <c r="D70" s="157">
        <v>100000</v>
      </c>
      <c r="E70" s="157"/>
      <c r="F70" s="157"/>
      <c r="G70" s="158"/>
      <c r="H70" s="159"/>
      <c r="I70" s="159"/>
      <c r="J70" s="157">
        <v>100000</v>
      </c>
      <c r="K70" s="157">
        <v>100000</v>
      </c>
      <c r="L70" s="157">
        <v>100000</v>
      </c>
      <c r="M70" s="157">
        <f t="shared" si="16"/>
        <v>0</v>
      </c>
      <c r="N70" s="303">
        <f>L70/C70</f>
        <v>0.5181347150259067</v>
      </c>
    </row>
    <row r="71" spans="1:14" ht="15">
      <c r="A71" s="156" t="s">
        <v>3</v>
      </c>
      <c r="B71" s="176"/>
      <c r="C71" s="157">
        <v>719000</v>
      </c>
      <c r="D71" s="157">
        <f>132790+229210</f>
        <v>362000</v>
      </c>
      <c r="E71" s="157"/>
      <c r="F71" s="157"/>
      <c r="G71" s="158"/>
      <c r="H71" s="159"/>
      <c r="I71" s="159"/>
      <c r="J71" s="157">
        <v>345328</v>
      </c>
      <c r="K71" s="157">
        <v>345328</v>
      </c>
      <c r="L71" s="157">
        <v>331078</v>
      </c>
      <c r="M71" s="157">
        <f t="shared" si="16"/>
        <v>14250</v>
      </c>
      <c r="N71" s="303">
        <f>L71/C71</f>
        <v>0.4604700973574409</v>
      </c>
    </row>
    <row r="72" spans="1:14" ht="15">
      <c r="A72" s="156" t="s">
        <v>222</v>
      </c>
      <c r="B72" s="176"/>
      <c r="C72" s="157">
        <v>450000</v>
      </c>
      <c r="D72" s="157">
        <f>141184+207116</f>
        <v>348300</v>
      </c>
      <c r="E72" s="157"/>
      <c r="F72" s="157"/>
      <c r="G72" s="158"/>
      <c r="H72" s="159"/>
      <c r="I72" s="159"/>
      <c r="J72" s="157">
        <v>266124</v>
      </c>
      <c r="K72" s="157">
        <v>266124</v>
      </c>
      <c r="L72" s="157">
        <v>266124</v>
      </c>
      <c r="M72" s="157">
        <f t="shared" si="16"/>
        <v>0</v>
      </c>
      <c r="N72" s="303">
        <f>L72/C72</f>
        <v>0.5913866666666666</v>
      </c>
    </row>
    <row r="73" spans="1:14" ht="15" hidden="1">
      <c r="A73" s="156" t="s">
        <v>5</v>
      </c>
      <c r="B73" s="176"/>
      <c r="C73" s="157">
        <f>D73+E73+F73+G73</f>
        <v>0</v>
      </c>
      <c r="D73" s="157"/>
      <c r="E73" s="157"/>
      <c r="F73" s="157"/>
      <c r="G73" s="158"/>
      <c r="H73" s="159"/>
      <c r="I73" s="159"/>
      <c r="J73" s="157"/>
      <c r="K73" s="157"/>
      <c r="L73" s="157"/>
      <c r="M73" s="157"/>
      <c r="N73" s="303"/>
    </row>
    <row r="74" spans="1:14" ht="15" hidden="1">
      <c r="A74" s="156" t="s">
        <v>6</v>
      </c>
      <c r="B74" s="176"/>
      <c r="C74" s="157">
        <f>D74+E74+F74+G74</f>
        <v>0</v>
      </c>
      <c r="D74" s="157"/>
      <c r="E74" s="157"/>
      <c r="F74" s="157"/>
      <c r="G74" s="158"/>
      <c r="H74" s="159"/>
      <c r="I74" s="159"/>
      <c r="J74" s="157"/>
      <c r="K74" s="157"/>
      <c r="L74" s="157"/>
      <c r="M74" s="157"/>
      <c r="N74" s="303"/>
    </row>
    <row r="75" spans="1:14" ht="15">
      <c r="A75" s="164" t="s">
        <v>7</v>
      </c>
      <c r="B75" s="176"/>
      <c r="C75" s="157">
        <v>3</v>
      </c>
      <c r="D75" s="157"/>
      <c r="E75" s="157"/>
      <c r="F75" s="157"/>
      <c r="G75" s="158"/>
      <c r="H75" s="159"/>
      <c r="I75" s="159"/>
      <c r="J75" s="187">
        <f>K75</f>
        <v>-19955</v>
      </c>
      <c r="K75" s="187">
        <f>L75</f>
        <v>-19955</v>
      </c>
      <c r="L75" s="187">
        <v>-19955</v>
      </c>
      <c r="M75" s="157"/>
      <c r="N75" s="303"/>
    </row>
    <row r="76" spans="1:14" ht="15">
      <c r="A76" s="166" t="s">
        <v>8</v>
      </c>
      <c r="B76" s="176"/>
      <c r="C76" s="157"/>
      <c r="D76" s="157"/>
      <c r="E76" s="157"/>
      <c r="F76" s="157"/>
      <c r="G76" s="158"/>
      <c r="H76" s="159"/>
      <c r="I76" s="159"/>
      <c r="J76" s="157"/>
      <c r="K76" s="157"/>
      <c r="L76" s="157"/>
      <c r="M76" s="157"/>
      <c r="N76" s="303"/>
    </row>
    <row r="77" spans="1:14" ht="15">
      <c r="A77" s="174" t="s">
        <v>26</v>
      </c>
      <c r="B77" s="188" t="s">
        <v>33</v>
      </c>
      <c r="C77" s="170">
        <v>1803191</v>
      </c>
      <c r="D77" s="170">
        <v>1053252</v>
      </c>
      <c r="E77" s="170"/>
      <c r="F77" s="170"/>
      <c r="G77" s="186"/>
      <c r="H77" s="159"/>
      <c r="I77" s="159"/>
      <c r="J77" s="170">
        <v>1072710</v>
      </c>
      <c r="K77" s="170">
        <v>1072710</v>
      </c>
      <c r="L77" s="170">
        <v>868445</v>
      </c>
      <c r="M77" s="170">
        <f>J77-L77</f>
        <v>204265</v>
      </c>
      <c r="N77" s="305">
        <f>L77/C77</f>
        <v>0.4816156469281402</v>
      </c>
    </row>
    <row r="78" spans="1:14" ht="15">
      <c r="A78" s="174" t="s">
        <v>214</v>
      </c>
      <c r="B78" s="169" t="s">
        <v>218</v>
      </c>
      <c r="C78" s="170">
        <v>941211</v>
      </c>
      <c r="D78" s="170">
        <v>591874</v>
      </c>
      <c r="E78" s="170"/>
      <c r="F78" s="170"/>
      <c r="G78" s="186"/>
      <c r="H78" s="382"/>
      <c r="I78" s="383"/>
      <c r="J78" s="170">
        <v>446315</v>
      </c>
      <c r="K78" s="170">
        <v>446315</v>
      </c>
      <c r="L78" s="170">
        <v>446315</v>
      </c>
      <c r="M78" s="170">
        <f aca="true" t="shared" si="17" ref="M78:M85">J78-L78</f>
        <v>0</v>
      </c>
      <c r="N78" s="305">
        <f>L78/C78</f>
        <v>0.4741922905703397</v>
      </c>
    </row>
    <row r="79" spans="1:14" ht="15">
      <c r="A79" s="174" t="s">
        <v>27</v>
      </c>
      <c r="B79" s="169" t="s">
        <v>198</v>
      </c>
      <c r="C79" s="170">
        <v>3069748</v>
      </c>
      <c r="D79" s="170">
        <v>1730378</v>
      </c>
      <c r="E79" s="170"/>
      <c r="F79" s="170"/>
      <c r="G79" s="186"/>
      <c r="H79" s="162"/>
      <c r="I79" s="167"/>
      <c r="J79" s="170">
        <v>1314778</v>
      </c>
      <c r="K79" s="170">
        <v>1314778</v>
      </c>
      <c r="L79" s="170">
        <v>1292287</v>
      </c>
      <c r="M79" s="170">
        <f t="shared" si="17"/>
        <v>22491</v>
      </c>
      <c r="N79" s="305">
        <f>L79/C79</f>
        <v>0.42097494647769135</v>
      </c>
    </row>
    <row r="80" spans="1:14" ht="15">
      <c r="A80" s="168" t="s">
        <v>28</v>
      </c>
      <c r="B80" s="169" t="s">
        <v>34</v>
      </c>
      <c r="C80" s="170">
        <v>8435114</v>
      </c>
      <c r="D80" s="170">
        <v>4523655</v>
      </c>
      <c r="E80" s="170"/>
      <c r="F80" s="170"/>
      <c r="G80" s="170"/>
      <c r="H80" s="163"/>
      <c r="I80" s="167"/>
      <c r="J80" s="170">
        <v>4192173</v>
      </c>
      <c r="K80" s="170">
        <v>4192173</v>
      </c>
      <c r="L80" s="170">
        <v>3589796</v>
      </c>
      <c r="M80" s="170">
        <f t="shared" si="17"/>
        <v>602377</v>
      </c>
      <c r="N80" s="305">
        <f>L80/C80</f>
        <v>0.42557765075848414</v>
      </c>
    </row>
    <row r="81" spans="1:14" ht="15">
      <c r="A81" s="168" t="s">
        <v>215</v>
      </c>
      <c r="B81" s="169" t="s">
        <v>219</v>
      </c>
      <c r="C81" s="170"/>
      <c r="D81" s="170"/>
      <c r="E81" s="170"/>
      <c r="F81" s="170"/>
      <c r="G81" s="170"/>
      <c r="H81" s="163"/>
      <c r="I81" s="167"/>
      <c r="J81" s="170"/>
      <c r="K81" s="170"/>
      <c r="L81" s="170"/>
      <c r="M81" s="170">
        <f t="shared" si="17"/>
        <v>0</v>
      </c>
      <c r="N81" s="305"/>
    </row>
    <row r="82" spans="1:14" ht="15">
      <c r="A82" s="168" t="s">
        <v>216</v>
      </c>
      <c r="B82" s="169" t="s">
        <v>220</v>
      </c>
      <c r="C82" s="170"/>
      <c r="D82" s="170"/>
      <c r="E82" s="170"/>
      <c r="F82" s="170"/>
      <c r="G82" s="170"/>
      <c r="H82" s="163"/>
      <c r="I82" s="167"/>
      <c r="J82" s="170"/>
      <c r="K82" s="170"/>
      <c r="L82" s="170"/>
      <c r="M82" s="170">
        <f t="shared" si="17"/>
        <v>0</v>
      </c>
      <c r="N82" s="305"/>
    </row>
    <row r="83" spans="1:14" ht="15">
      <c r="A83" s="168" t="s">
        <v>217</v>
      </c>
      <c r="B83" s="169" t="s">
        <v>221</v>
      </c>
      <c r="C83" s="170">
        <v>300</v>
      </c>
      <c r="D83" s="170">
        <v>150</v>
      </c>
      <c r="E83" s="170"/>
      <c r="F83" s="170"/>
      <c r="G83" s="170"/>
      <c r="H83" s="163"/>
      <c r="I83" s="167"/>
      <c r="J83" s="170">
        <v>96</v>
      </c>
      <c r="K83" s="170">
        <v>96</v>
      </c>
      <c r="L83" s="170">
        <v>96</v>
      </c>
      <c r="M83" s="170">
        <f t="shared" si="17"/>
        <v>0</v>
      </c>
      <c r="N83" s="305">
        <f>L83/C83</f>
        <v>0.32</v>
      </c>
    </row>
    <row r="84" spans="1:14" ht="15">
      <c r="A84" s="168" t="s">
        <v>138</v>
      </c>
      <c r="B84" s="169" t="s">
        <v>35</v>
      </c>
      <c r="C84" s="170">
        <v>348270</v>
      </c>
      <c r="D84" s="170">
        <v>24270</v>
      </c>
      <c r="E84" s="170"/>
      <c r="F84" s="170"/>
      <c r="G84" s="170"/>
      <c r="H84" s="163"/>
      <c r="I84" s="167"/>
      <c r="J84" s="170">
        <v>20000</v>
      </c>
      <c r="K84" s="170">
        <v>20000</v>
      </c>
      <c r="L84" s="170">
        <v>5750</v>
      </c>
      <c r="M84" s="170">
        <f t="shared" si="17"/>
        <v>14250</v>
      </c>
      <c r="N84" s="305">
        <f>L84/C84</f>
        <v>0.01651017888419904</v>
      </c>
    </row>
    <row r="85" spans="1:14" ht="15.75" thickBot="1">
      <c r="A85" s="164" t="s">
        <v>7</v>
      </c>
      <c r="B85" s="169"/>
      <c r="C85" s="171"/>
      <c r="D85" s="171"/>
      <c r="E85" s="171"/>
      <c r="F85" s="171"/>
      <c r="G85" s="171"/>
      <c r="H85" s="189"/>
      <c r="I85" s="190"/>
      <c r="J85" s="171"/>
      <c r="K85" s="171"/>
      <c r="L85" s="171"/>
      <c r="M85" s="171">
        <f t="shared" si="17"/>
        <v>0</v>
      </c>
      <c r="N85" s="310"/>
    </row>
    <row r="86" spans="1:14" ht="24.75" customHeight="1">
      <c r="A86" s="172" t="s">
        <v>29</v>
      </c>
      <c r="B86" s="154" t="s">
        <v>172</v>
      </c>
      <c r="C86" s="155">
        <f>C87+C88+C99+C96</f>
        <v>3155000</v>
      </c>
      <c r="D86" s="155">
        <f aca="true" t="shared" si="18" ref="D86:M86">D87+D88+D99+D96</f>
        <v>1553000</v>
      </c>
      <c r="E86" s="155">
        <f t="shared" si="18"/>
        <v>423000</v>
      </c>
      <c r="F86" s="155">
        <f t="shared" si="18"/>
        <v>423000</v>
      </c>
      <c r="G86" s="155">
        <f t="shared" si="18"/>
        <v>391000</v>
      </c>
      <c r="H86" s="155" t="e">
        <f t="shared" si="18"/>
        <v>#VALUE!</v>
      </c>
      <c r="I86" s="155">
        <f t="shared" si="18"/>
        <v>381000</v>
      </c>
      <c r="J86" s="155">
        <f t="shared" si="18"/>
        <v>1488062</v>
      </c>
      <c r="K86" s="155">
        <f t="shared" si="18"/>
        <v>1488062</v>
      </c>
      <c r="L86" s="155">
        <f t="shared" si="18"/>
        <v>1433461</v>
      </c>
      <c r="M86" s="155">
        <f t="shared" si="18"/>
        <v>54601</v>
      </c>
      <c r="N86" s="302">
        <f>L86/C86</f>
        <v>0.4543458003169572</v>
      </c>
    </row>
    <row r="87" spans="1:14" ht="15">
      <c r="A87" s="191" t="s">
        <v>160</v>
      </c>
      <c r="B87" s="192"/>
      <c r="C87" s="193">
        <v>3025000</v>
      </c>
      <c r="D87" s="193">
        <f>615000+858000</f>
        <v>1473000</v>
      </c>
      <c r="E87" s="193">
        <v>381000</v>
      </c>
      <c r="F87" s="193">
        <v>381000</v>
      </c>
      <c r="G87" s="193">
        <v>381000</v>
      </c>
      <c r="H87" s="193">
        <v>381000</v>
      </c>
      <c r="I87" s="193">
        <v>381000</v>
      </c>
      <c r="J87" s="193">
        <v>1473000</v>
      </c>
      <c r="K87" s="193">
        <v>1473000</v>
      </c>
      <c r="L87" s="193">
        <v>1418399</v>
      </c>
      <c r="M87" s="193">
        <f>J87-L87</f>
        <v>54601</v>
      </c>
      <c r="N87" s="311">
        <f>L87/C87</f>
        <v>0.46889223140495867</v>
      </c>
    </row>
    <row r="88" spans="1:14" ht="14.25">
      <c r="A88" s="191" t="s">
        <v>175</v>
      </c>
      <c r="B88" s="192"/>
      <c r="C88" s="194">
        <f>C89+C90</f>
        <v>100000</v>
      </c>
      <c r="D88" s="194">
        <f aca="true" t="shared" si="19" ref="D88:L88">D89+D90</f>
        <v>60000</v>
      </c>
      <c r="E88" s="194">
        <f t="shared" si="19"/>
        <v>42000</v>
      </c>
      <c r="F88" s="194">
        <f t="shared" si="19"/>
        <v>42000</v>
      </c>
      <c r="G88" s="194">
        <f t="shared" si="19"/>
        <v>10000</v>
      </c>
      <c r="H88" s="194" t="e">
        <f t="shared" si="19"/>
        <v>#VALUE!</v>
      </c>
      <c r="I88" s="194">
        <f t="shared" si="19"/>
        <v>0</v>
      </c>
      <c r="J88" s="194">
        <f t="shared" si="19"/>
        <v>5376</v>
      </c>
      <c r="K88" s="194">
        <f t="shared" si="19"/>
        <v>5376</v>
      </c>
      <c r="L88" s="194">
        <f t="shared" si="19"/>
        <v>5376</v>
      </c>
      <c r="M88" s="194">
        <f>M89+M90</f>
        <v>0</v>
      </c>
      <c r="N88" s="312">
        <f>L88/C88</f>
        <v>0.05376</v>
      </c>
    </row>
    <row r="89" spans="1:14" ht="15">
      <c r="A89" s="185" t="s">
        <v>30</v>
      </c>
      <c r="B89" s="161"/>
      <c r="C89" s="157">
        <v>100000</v>
      </c>
      <c r="D89" s="157">
        <v>60000</v>
      </c>
      <c r="E89" s="157">
        <v>40000</v>
      </c>
      <c r="F89" s="157">
        <v>40000</v>
      </c>
      <c r="G89" s="158">
        <v>10000</v>
      </c>
      <c r="H89" s="159"/>
      <c r="I89" s="159"/>
      <c r="J89" s="157">
        <v>5376</v>
      </c>
      <c r="K89" s="157">
        <v>5376</v>
      </c>
      <c r="L89" s="157">
        <v>5376</v>
      </c>
      <c r="M89" s="157">
        <f aca="true" t="shared" si="20" ref="M89:M98">J89-L89</f>
        <v>0</v>
      </c>
      <c r="N89" s="303">
        <f>L89/C89</f>
        <v>0.05376</v>
      </c>
    </row>
    <row r="90" spans="1:14" ht="15" hidden="1">
      <c r="A90" s="185"/>
      <c r="B90" s="161"/>
      <c r="C90" s="157"/>
      <c r="D90" s="157"/>
      <c r="E90" s="157">
        <v>2000</v>
      </c>
      <c r="F90" s="157">
        <v>2000</v>
      </c>
      <c r="G90" s="158"/>
      <c r="H90" s="382" t="s">
        <v>121</v>
      </c>
      <c r="I90" s="383"/>
      <c r="J90" s="157"/>
      <c r="K90" s="157"/>
      <c r="L90" s="157"/>
      <c r="M90" s="157">
        <f t="shared" si="20"/>
        <v>0</v>
      </c>
      <c r="N90" s="303"/>
    </row>
    <row r="91" spans="1:14" ht="15" hidden="1">
      <c r="A91" s="156" t="s">
        <v>0</v>
      </c>
      <c r="B91" s="161"/>
      <c r="C91" s="157">
        <f aca="true" t="shared" si="21" ref="C91:C98">D91+E91+F91+G91</f>
        <v>0</v>
      </c>
      <c r="D91" s="157"/>
      <c r="E91" s="157"/>
      <c r="F91" s="157"/>
      <c r="G91" s="158"/>
      <c r="H91" s="162"/>
      <c r="I91" s="163"/>
      <c r="J91" s="157"/>
      <c r="K91" s="157"/>
      <c r="L91" s="157"/>
      <c r="M91" s="157">
        <f t="shared" si="20"/>
        <v>0</v>
      </c>
      <c r="N91" s="303"/>
    </row>
    <row r="92" spans="1:14" ht="15" hidden="1">
      <c r="A92" s="156" t="s">
        <v>1</v>
      </c>
      <c r="B92" s="161"/>
      <c r="C92" s="157">
        <f t="shared" si="21"/>
        <v>0</v>
      </c>
      <c r="D92" s="157"/>
      <c r="E92" s="157"/>
      <c r="F92" s="157"/>
      <c r="G92" s="158"/>
      <c r="H92" s="162"/>
      <c r="I92" s="163"/>
      <c r="J92" s="157"/>
      <c r="K92" s="157"/>
      <c r="L92" s="157"/>
      <c r="M92" s="157">
        <f t="shared" si="20"/>
        <v>0</v>
      </c>
      <c r="N92" s="303"/>
    </row>
    <row r="93" spans="1:14" ht="15" hidden="1">
      <c r="A93" s="156" t="s">
        <v>159</v>
      </c>
      <c r="B93" s="161"/>
      <c r="C93" s="157">
        <f t="shared" si="21"/>
        <v>0</v>
      </c>
      <c r="D93" s="157"/>
      <c r="E93" s="157"/>
      <c r="F93" s="157"/>
      <c r="G93" s="158"/>
      <c r="H93" s="162"/>
      <c r="I93" s="163"/>
      <c r="J93" s="157"/>
      <c r="K93" s="157"/>
      <c r="L93" s="157"/>
      <c r="M93" s="157">
        <f t="shared" si="20"/>
        <v>0</v>
      </c>
      <c r="N93" s="303"/>
    </row>
    <row r="94" spans="1:14" ht="15" hidden="1">
      <c r="A94" s="156" t="s">
        <v>2</v>
      </c>
      <c r="B94" s="161"/>
      <c r="C94" s="157">
        <f t="shared" si="21"/>
        <v>0</v>
      </c>
      <c r="D94" s="157"/>
      <c r="E94" s="157"/>
      <c r="F94" s="157"/>
      <c r="G94" s="158"/>
      <c r="H94" s="162"/>
      <c r="I94" s="163"/>
      <c r="J94" s="157"/>
      <c r="K94" s="157"/>
      <c r="L94" s="157"/>
      <c r="M94" s="157">
        <f t="shared" si="20"/>
        <v>0</v>
      </c>
      <c r="N94" s="303"/>
    </row>
    <row r="95" spans="1:14" ht="15" hidden="1">
      <c r="A95" s="156" t="s">
        <v>3</v>
      </c>
      <c r="B95" s="161"/>
      <c r="C95" s="157">
        <f t="shared" si="21"/>
        <v>0</v>
      </c>
      <c r="D95" s="157"/>
      <c r="E95" s="157"/>
      <c r="F95" s="157"/>
      <c r="G95" s="158"/>
      <c r="H95" s="162"/>
      <c r="I95" s="163"/>
      <c r="J95" s="157"/>
      <c r="K95" s="157"/>
      <c r="L95" s="157"/>
      <c r="M95" s="157">
        <f t="shared" si="20"/>
        <v>0</v>
      </c>
      <c r="N95" s="303"/>
    </row>
    <row r="96" spans="1:14" ht="15">
      <c r="A96" s="292" t="s">
        <v>4</v>
      </c>
      <c r="B96" s="293"/>
      <c r="C96" s="294">
        <v>30000</v>
      </c>
      <c r="D96" s="294">
        <v>20000</v>
      </c>
      <c r="E96" s="294"/>
      <c r="F96" s="294"/>
      <c r="G96" s="295"/>
      <c r="H96" s="296"/>
      <c r="I96" s="297"/>
      <c r="J96" s="294">
        <v>9686</v>
      </c>
      <c r="K96" s="294">
        <v>9686</v>
      </c>
      <c r="L96" s="294">
        <v>9686</v>
      </c>
      <c r="M96" s="294">
        <f t="shared" si="20"/>
        <v>0</v>
      </c>
      <c r="N96" s="313">
        <f>L96/C96</f>
        <v>0.3228666666666667</v>
      </c>
    </row>
    <row r="97" spans="1:14" ht="15" hidden="1">
      <c r="A97" s="156" t="s">
        <v>5</v>
      </c>
      <c r="B97" s="161"/>
      <c r="C97" s="157">
        <f t="shared" si="21"/>
        <v>0</v>
      </c>
      <c r="D97" s="157"/>
      <c r="E97" s="157"/>
      <c r="F97" s="157"/>
      <c r="G97" s="158"/>
      <c r="H97" s="162"/>
      <c r="I97" s="163"/>
      <c r="J97" s="157"/>
      <c r="K97" s="157"/>
      <c r="L97" s="157"/>
      <c r="M97" s="157">
        <f t="shared" si="20"/>
        <v>0</v>
      </c>
      <c r="N97" s="303"/>
    </row>
    <row r="98" spans="1:14" ht="15" hidden="1">
      <c r="A98" s="156" t="s">
        <v>6</v>
      </c>
      <c r="B98" s="161"/>
      <c r="C98" s="157">
        <f t="shared" si="21"/>
        <v>0</v>
      </c>
      <c r="D98" s="157"/>
      <c r="E98" s="157"/>
      <c r="F98" s="157"/>
      <c r="G98" s="158"/>
      <c r="H98" s="162"/>
      <c r="I98" s="163"/>
      <c r="J98" s="157"/>
      <c r="K98" s="157"/>
      <c r="L98" s="157"/>
      <c r="M98" s="157">
        <f t="shared" si="20"/>
        <v>0</v>
      </c>
      <c r="N98" s="303"/>
    </row>
    <row r="99" spans="1:14" ht="15">
      <c r="A99" s="164" t="s">
        <v>7</v>
      </c>
      <c r="B99" s="161"/>
      <c r="C99" s="157"/>
      <c r="D99" s="157"/>
      <c r="E99" s="157"/>
      <c r="F99" s="157"/>
      <c r="G99" s="158"/>
      <c r="H99" s="162"/>
      <c r="I99" s="163"/>
      <c r="J99" s="157"/>
      <c r="K99" s="157"/>
      <c r="L99" s="157"/>
      <c r="M99" s="157"/>
      <c r="N99" s="303"/>
    </row>
    <row r="100" spans="1:14" ht="15">
      <c r="A100" s="166" t="s">
        <v>8</v>
      </c>
      <c r="B100" s="161"/>
      <c r="C100" s="157"/>
      <c r="D100" s="157"/>
      <c r="E100" s="157"/>
      <c r="F100" s="157"/>
      <c r="G100" s="158"/>
      <c r="H100" s="162" t="s">
        <v>112</v>
      </c>
      <c r="I100" s="167">
        <f>C87+C88</f>
        <v>3125000</v>
      </c>
      <c r="J100" s="157"/>
      <c r="K100" s="157"/>
      <c r="L100" s="157"/>
      <c r="M100" s="157"/>
      <c r="N100" s="303"/>
    </row>
    <row r="101" spans="1:14" ht="14.25">
      <c r="A101" s="168" t="s">
        <v>31</v>
      </c>
      <c r="B101" s="169" t="s">
        <v>32</v>
      </c>
      <c r="C101" s="170">
        <f>C88+C87+C96</f>
        <v>3155000</v>
      </c>
      <c r="D101" s="170">
        <f aca="true" t="shared" si="22" ref="D101:M101">D88+D87+D96</f>
        <v>1553000</v>
      </c>
      <c r="E101" s="170">
        <f t="shared" si="22"/>
        <v>423000</v>
      </c>
      <c r="F101" s="170">
        <f t="shared" si="22"/>
        <v>423000</v>
      </c>
      <c r="G101" s="170">
        <f t="shared" si="22"/>
        <v>391000</v>
      </c>
      <c r="H101" s="170" t="e">
        <f t="shared" si="22"/>
        <v>#VALUE!</v>
      </c>
      <c r="I101" s="170">
        <f t="shared" si="22"/>
        <v>381000</v>
      </c>
      <c r="J101" s="170">
        <f t="shared" si="22"/>
        <v>1488062</v>
      </c>
      <c r="K101" s="170">
        <f t="shared" si="22"/>
        <v>1488062</v>
      </c>
      <c r="L101" s="170">
        <f t="shared" si="22"/>
        <v>1433461</v>
      </c>
      <c r="M101" s="170">
        <f t="shared" si="22"/>
        <v>54601</v>
      </c>
      <c r="N101" s="305">
        <f>L101/C101</f>
        <v>0.4543458003169572</v>
      </c>
    </row>
    <row r="102" spans="1:14" ht="15.75" thickBot="1">
      <c r="A102" s="164" t="s">
        <v>7</v>
      </c>
      <c r="B102" s="169"/>
      <c r="C102" s="170"/>
      <c r="D102" s="170"/>
      <c r="E102" s="170"/>
      <c r="F102" s="170"/>
      <c r="G102" s="170"/>
      <c r="H102" s="163"/>
      <c r="I102" s="167"/>
      <c r="J102" s="170">
        <f>J99</f>
        <v>0</v>
      </c>
      <c r="K102" s="170">
        <f>K99</f>
        <v>0</v>
      </c>
      <c r="L102" s="170">
        <f>L99</f>
        <v>0</v>
      </c>
      <c r="M102" s="170"/>
      <c r="N102" s="305"/>
    </row>
    <row r="103" spans="1:14" ht="24.75" customHeight="1">
      <c r="A103" s="172" t="s">
        <v>36</v>
      </c>
      <c r="B103" s="154" t="s">
        <v>172</v>
      </c>
      <c r="C103" s="155">
        <f>C104+C109+C120+C128</f>
        <v>18079306</v>
      </c>
      <c r="D103" s="155">
        <f aca="true" t="shared" si="23" ref="D103:M103">D104+D109+D120+D128</f>
        <v>13729345</v>
      </c>
      <c r="E103" s="155">
        <f t="shared" si="23"/>
        <v>750806</v>
      </c>
      <c r="F103" s="155">
        <f t="shared" si="23"/>
        <v>750806</v>
      </c>
      <c r="G103" s="155">
        <f t="shared" si="23"/>
        <v>750806</v>
      </c>
      <c r="H103" s="155">
        <f t="shared" si="23"/>
        <v>750806</v>
      </c>
      <c r="I103" s="155">
        <f t="shared" si="23"/>
        <v>750806</v>
      </c>
      <c r="J103" s="155">
        <f>J104+J109+J120+J128+J133</f>
        <v>15798503</v>
      </c>
      <c r="K103" s="155">
        <f>K104+K109+K120+K128+K133</f>
        <v>15798503</v>
      </c>
      <c r="L103" s="155">
        <f>L104+L109+L120+L128+L133</f>
        <v>10411961</v>
      </c>
      <c r="M103" s="155">
        <f t="shared" si="23"/>
        <v>5386542</v>
      </c>
      <c r="N103" s="302">
        <f>L103/C103</f>
        <v>0.575904904756853</v>
      </c>
    </row>
    <row r="104" spans="1:14" ht="15">
      <c r="A104" s="191" t="s">
        <v>160</v>
      </c>
      <c r="B104" s="195"/>
      <c r="C104" s="193">
        <f>C105+C106+C107+C108</f>
        <v>678881</v>
      </c>
      <c r="D104" s="193">
        <f aca="true" t="shared" si="24" ref="D104:M104">D105+D106+D107+D108</f>
        <v>555091</v>
      </c>
      <c r="E104" s="193">
        <f t="shared" si="24"/>
        <v>378881</v>
      </c>
      <c r="F104" s="193">
        <f t="shared" si="24"/>
        <v>378881</v>
      </c>
      <c r="G104" s="193">
        <f t="shared" si="24"/>
        <v>378881</v>
      </c>
      <c r="H104" s="193">
        <f t="shared" si="24"/>
        <v>378881</v>
      </c>
      <c r="I104" s="193">
        <f t="shared" si="24"/>
        <v>378881</v>
      </c>
      <c r="J104" s="193">
        <f t="shared" si="24"/>
        <v>578139</v>
      </c>
      <c r="K104" s="193">
        <f t="shared" si="24"/>
        <v>578139</v>
      </c>
      <c r="L104" s="193">
        <f t="shared" si="24"/>
        <v>547014</v>
      </c>
      <c r="M104" s="193">
        <f t="shared" si="24"/>
        <v>31125</v>
      </c>
      <c r="N104" s="311">
        <f>L104/C104</f>
        <v>0.8057582993190264</v>
      </c>
    </row>
    <row r="105" spans="1:14" ht="15" hidden="1">
      <c r="A105" s="196" t="s">
        <v>211</v>
      </c>
      <c r="B105" s="183" t="s">
        <v>38</v>
      </c>
      <c r="C105" s="157"/>
      <c r="D105" s="157"/>
      <c r="E105" s="157"/>
      <c r="F105" s="157"/>
      <c r="G105" s="197"/>
      <c r="H105" s="159"/>
      <c r="I105" s="159"/>
      <c r="J105" s="160"/>
      <c r="K105" s="160"/>
      <c r="L105" s="160"/>
      <c r="M105" s="157">
        <f>J105-L105</f>
        <v>0</v>
      </c>
      <c r="N105" s="303"/>
    </row>
    <row r="106" spans="1:14" ht="15">
      <c r="A106" s="196" t="s">
        <v>212</v>
      </c>
      <c r="B106" s="183" t="s">
        <v>39</v>
      </c>
      <c r="C106" s="157">
        <v>300000</v>
      </c>
      <c r="D106" s="157">
        <f>80000+96210</f>
        <v>176210</v>
      </c>
      <c r="E106" s="157"/>
      <c r="F106" s="157"/>
      <c r="G106" s="197"/>
      <c r="H106" s="159"/>
      <c r="I106" s="159"/>
      <c r="J106" s="157">
        <v>199258</v>
      </c>
      <c r="K106" s="157">
        <v>199258</v>
      </c>
      <c r="L106" s="157">
        <v>168133</v>
      </c>
      <c r="M106" s="157">
        <f>J106-L106</f>
        <v>31125</v>
      </c>
      <c r="N106" s="303">
        <f>L106/C106</f>
        <v>0.5604433333333333</v>
      </c>
    </row>
    <row r="107" spans="1:14" ht="15" hidden="1">
      <c r="A107" s="196" t="s">
        <v>213</v>
      </c>
      <c r="B107" s="183" t="s">
        <v>40</v>
      </c>
      <c r="C107" s="157"/>
      <c r="D107" s="157"/>
      <c r="E107" s="157"/>
      <c r="F107" s="157"/>
      <c r="G107" s="197"/>
      <c r="H107" s="159"/>
      <c r="I107" s="159"/>
      <c r="J107" s="157"/>
      <c r="K107" s="157"/>
      <c r="L107" s="157"/>
      <c r="M107" s="157">
        <f>J107-L107</f>
        <v>0</v>
      </c>
      <c r="N107" s="303"/>
    </row>
    <row r="108" spans="1:14" ht="15">
      <c r="A108" s="291" t="s">
        <v>257</v>
      </c>
      <c r="B108" s="183" t="s">
        <v>40</v>
      </c>
      <c r="C108" s="157">
        <v>378881</v>
      </c>
      <c r="D108" s="157">
        <v>378881</v>
      </c>
      <c r="E108" s="157">
        <v>378881</v>
      </c>
      <c r="F108" s="157">
        <v>378881</v>
      </c>
      <c r="G108" s="157">
        <v>378881</v>
      </c>
      <c r="H108" s="157">
        <v>378881</v>
      </c>
      <c r="I108" s="157">
        <v>378881</v>
      </c>
      <c r="J108" s="157">
        <f>2556+1170+15638+1504+57051+669+22427+277866</f>
        <v>378881</v>
      </c>
      <c r="K108" s="157">
        <f>2556+1170+15638+1504+57051+669+22427+277866</f>
        <v>378881</v>
      </c>
      <c r="L108" s="157">
        <f>2556+1170+15638+1504+57051+669+22427+277866</f>
        <v>378881</v>
      </c>
      <c r="M108" s="157">
        <f>J108-L108</f>
        <v>0</v>
      </c>
      <c r="N108" s="303">
        <f>L108/C108</f>
        <v>1</v>
      </c>
    </row>
    <row r="109" spans="1:14" ht="15">
      <c r="A109" s="191" t="s">
        <v>175</v>
      </c>
      <c r="B109" s="198"/>
      <c r="C109" s="193">
        <f>C110+C111+C112+C113+C114+C115+C116</f>
        <v>7496925</v>
      </c>
      <c r="D109" s="193">
        <f aca="true" t="shared" si="25" ref="D109:M109">D110+D111+D112+D113+D114+D115+D116</f>
        <v>5687925</v>
      </c>
      <c r="E109" s="193">
        <f t="shared" si="25"/>
        <v>71925</v>
      </c>
      <c r="F109" s="193">
        <f t="shared" si="25"/>
        <v>71925</v>
      </c>
      <c r="G109" s="193">
        <f t="shared" si="25"/>
        <v>71925</v>
      </c>
      <c r="H109" s="193">
        <f t="shared" si="25"/>
        <v>71925</v>
      </c>
      <c r="I109" s="193">
        <f t="shared" si="25"/>
        <v>71925</v>
      </c>
      <c r="J109" s="193">
        <f t="shared" si="25"/>
        <v>5516864</v>
      </c>
      <c r="K109" s="193">
        <f t="shared" si="25"/>
        <v>5516864</v>
      </c>
      <c r="L109" s="193">
        <f t="shared" si="25"/>
        <v>3866122</v>
      </c>
      <c r="M109" s="193">
        <f t="shared" si="25"/>
        <v>1650742</v>
      </c>
      <c r="N109" s="311">
        <f>L109/C109</f>
        <v>0.5156943680242233</v>
      </c>
    </row>
    <row r="110" spans="1:14" ht="15" hidden="1">
      <c r="A110" s="196" t="s">
        <v>211</v>
      </c>
      <c r="B110" s="199" t="s">
        <v>38</v>
      </c>
      <c r="C110" s="160"/>
      <c r="D110" s="160"/>
      <c r="E110" s="160"/>
      <c r="F110" s="160"/>
      <c r="G110" s="200"/>
      <c r="H110" s="201"/>
      <c r="I110" s="201"/>
      <c r="J110" s="160"/>
      <c r="K110" s="160"/>
      <c r="L110" s="160"/>
      <c r="M110" s="160">
        <f>J110-L110</f>
        <v>0</v>
      </c>
      <c r="N110" s="304"/>
    </row>
    <row r="111" spans="1:14" ht="15">
      <c r="A111" s="196" t="s">
        <v>212</v>
      </c>
      <c r="B111" s="199" t="s">
        <v>39</v>
      </c>
      <c r="C111" s="160">
        <v>3425000</v>
      </c>
      <c r="D111" s="160">
        <f>1398000+919000</f>
        <v>2317000</v>
      </c>
      <c r="E111" s="160"/>
      <c r="F111" s="160"/>
      <c r="G111" s="200"/>
      <c r="H111" s="201"/>
      <c r="I111" s="201"/>
      <c r="J111" s="160">
        <v>2289696</v>
      </c>
      <c r="K111" s="160">
        <v>2289696</v>
      </c>
      <c r="L111" s="160">
        <v>1977632</v>
      </c>
      <c r="M111" s="160">
        <f>J111-L111</f>
        <v>312064</v>
      </c>
      <c r="N111" s="304">
        <f>L111/C111</f>
        <v>0.577410802919708</v>
      </c>
    </row>
    <row r="112" spans="1:14" ht="15" hidden="1">
      <c r="A112" s="196" t="s">
        <v>213</v>
      </c>
      <c r="B112" s="199" t="s">
        <v>40</v>
      </c>
      <c r="C112" s="160"/>
      <c r="D112" s="160"/>
      <c r="E112" s="160"/>
      <c r="F112" s="160"/>
      <c r="G112" s="200"/>
      <c r="H112" s="201"/>
      <c r="I112" s="201"/>
      <c r="J112" s="160"/>
      <c r="K112" s="160"/>
      <c r="L112" s="160"/>
      <c r="M112" s="160">
        <f>J112-L112</f>
        <v>0</v>
      </c>
      <c r="N112" s="304" t="e">
        <f>L112/C112</f>
        <v>#DIV/0!</v>
      </c>
    </row>
    <row r="113" spans="1:14" ht="15">
      <c r="A113" s="291" t="s">
        <v>256</v>
      </c>
      <c r="B113" s="199" t="s">
        <v>40</v>
      </c>
      <c r="C113" s="160">
        <v>71925</v>
      </c>
      <c r="D113" s="160">
        <v>71925</v>
      </c>
      <c r="E113" s="160">
        <v>71925</v>
      </c>
      <c r="F113" s="160">
        <v>71925</v>
      </c>
      <c r="G113" s="160">
        <v>71925</v>
      </c>
      <c r="H113" s="160">
        <v>71925</v>
      </c>
      <c r="I113" s="160">
        <v>71925</v>
      </c>
      <c r="J113" s="160">
        <v>71925</v>
      </c>
      <c r="K113" s="160">
        <v>71925</v>
      </c>
      <c r="L113" s="160">
        <v>71925</v>
      </c>
      <c r="M113" s="160">
        <f>J113-L113</f>
        <v>0</v>
      </c>
      <c r="N113" s="304">
        <f>L113/C113</f>
        <v>1</v>
      </c>
    </row>
    <row r="114" spans="1:14" ht="15">
      <c r="A114" s="196" t="s">
        <v>37</v>
      </c>
      <c r="B114" s="199" t="s">
        <v>63</v>
      </c>
      <c r="C114" s="160">
        <v>3800000</v>
      </c>
      <c r="D114" s="160">
        <f>1300000+1800000</f>
        <v>3100000</v>
      </c>
      <c r="E114" s="160"/>
      <c r="F114" s="160"/>
      <c r="G114" s="202"/>
      <c r="H114" s="159"/>
      <c r="I114" s="159"/>
      <c r="J114" s="160">
        <v>3134379</v>
      </c>
      <c r="K114" s="160">
        <v>3134379</v>
      </c>
      <c r="L114" s="160">
        <v>1795701</v>
      </c>
      <c r="M114" s="160">
        <f aca="true" t="shared" si="26" ref="M114:M133">J114-L114</f>
        <v>1338678</v>
      </c>
      <c r="N114" s="304">
        <f>L114/C114</f>
        <v>0.4725528947368421</v>
      </c>
    </row>
    <row r="115" spans="1:14" ht="15">
      <c r="A115" s="196" t="s">
        <v>242</v>
      </c>
      <c r="B115" s="199" t="s">
        <v>56</v>
      </c>
      <c r="C115" s="160">
        <v>200000</v>
      </c>
      <c r="D115" s="160">
        <f>139000+60000</f>
        <v>199000</v>
      </c>
      <c r="E115" s="160"/>
      <c r="F115" s="160"/>
      <c r="G115" s="202"/>
      <c r="H115" s="159"/>
      <c r="I115" s="159"/>
      <c r="J115" s="160">
        <v>20864</v>
      </c>
      <c r="K115" s="160">
        <v>20864</v>
      </c>
      <c r="L115" s="160">
        <f>10656+6608+3600</f>
        <v>20864</v>
      </c>
      <c r="M115" s="160">
        <f t="shared" si="26"/>
        <v>0</v>
      </c>
      <c r="N115" s="304">
        <f>L115/C115</f>
        <v>0.10432</v>
      </c>
    </row>
    <row r="116" spans="1:14" ht="15">
      <c r="A116" s="196" t="s">
        <v>243</v>
      </c>
      <c r="B116" s="199" t="s">
        <v>39</v>
      </c>
      <c r="C116" s="160">
        <v>0</v>
      </c>
      <c r="D116" s="160">
        <v>0</v>
      </c>
      <c r="E116" s="160"/>
      <c r="F116" s="160"/>
      <c r="G116" s="202"/>
      <c r="H116" s="159"/>
      <c r="I116" s="159"/>
      <c r="J116" s="160">
        <v>0</v>
      </c>
      <c r="K116" s="160">
        <v>0</v>
      </c>
      <c r="L116" s="160">
        <v>0</v>
      </c>
      <c r="M116" s="160">
        <f t="shared" si="26"/>
        <v>0</v>
      </c>
      <c r="N116" s="304"/>
    </row>
    <row r="117" spans="1:14" ht="15" hidden="1">
      <c r="A117" s="203" t="s">
        <v>0</v>
      </c>
      <c r="B117" s="204"/>
      <c r="C117" s="160">
        <f>D117+E117+F117+G117</f>
        <v>0</v>
      </c>
      <c r="D117" s="160"/>
      <c r="E117" s="160"/>
      <c r="F117" s="160"/>
      <c r="G117" s="202"/>
      <c r="H117" s="159"/>
      <c r="I117" s="159"/>
      <c r="J117" s="160"/>
      <c r="K117" s="160"/>
      <c r="L117" s="160"/>
      <c r="M117" s="160">
        <f t="shared" si="26"/>
        <v>0</v>
      </c>
      <c r="N117" s="304"/>
    </row>
    <row r="118" spans="1:14" ht="15" hidden="1">
      <c r="A118" s="203" t="s">
        <v>1</v>
      </c>
      <c r="B118" s="204"/>
      <c r="C118" s="160">
        <f>D118+E118+F118+G118</f>
        <v>0</v>
      </c>
      <c r="D118" s="160"/>
      <c r="E118" s="160"/>
      <c r="F118" s="160"/>
      <c r="G118" s="202"/>
      <c r="H118" s="159"/>
      <c r="I118" s="159"/>
      <c r="J118" s="160"/>
      <c r="K118" s="160"/>
      <c r="L118" s="160"/>
      <c r="M118" s="160">
        <f t="shared" si="26"/>
        <v>0</v>
      </c>
      <c r="N118" s="304"/>
    </row>
    <row r="119" spans="1:14" ht="15" hidden="1">
      <c r="A119" s="196" t="s">
        <v>184</v>
      </c>
      <c r="B119" s="204" t="s">
        <v>65</v>
      </c>
      <c r="C119" s="160"/>
      <c r="D119" s="160"/>
      <c r="E119" s="160"/>
      <c r="F119" s="160"/>
      <c r="G119" s="200"/>
      <c r="H119" s="159"/>
      <c r="I119" s="159"/>
      <c r="J119" s="160"/>
      <c r="K119" s="160"/>
      <c r="L119" s="160"/>
      <c r="M119" s="160">
        <f t="shared" si="26"/>
        <v>0</v>
      </c>
      <c r="N119" s="304"/>
    </row>
    <row r="120" spans="1:14" ht="15">
      <c r="A120" s="205" t="s">
        <v>162</v>
      </c>
      <c r="B120" s="192"/>
      <c r="C120" s="193">
        <f>C121+C122</f>
        <v>9820000</v>
      </c>
      <c r="D120" s="193">
        <f aca="true" t="shared" si="27" ref="D120:M120">D121+D122</f>
        <v>7439329</v>
      </c>
      <c r="E120" s="193">
        <f t="shared" si="27"/>
        <v>0</v>
      </c>
      <c r="F120" s="193">
        <f t="shared" si="27"/>
        <v>0</v>
      </c>
      <c r="G120" s="193">
        <f t="shared" si="27"/>
        <v>0</v>
      </c>
      <c r="H120" s="193">
        <f t="shared" si="27"/>
        <v>0</v>
      </c>
      <c r="I120" s="193">
        <f t="shared" si="27"/>
        <v>0</v>
      </c>
      <c r="J120" s="193">
        <f t="shared" si="27"/>
        <v>9620000</v>
      </c>
      <c r="K120" s="193">
        <f t="shared" si="27"/>
        <v>9620000</v>
      </c>
      <c r="L120" s="193">
        <f t="shared" si="27"/>
        <v>5960325</v>
      </c>
      <c r="M120" s="193">
        <f t="shared" si="27"/>
        <v>3659675</v>
      </c>
      <c r="N120" s="311">
        <f>L120/C120</f>
        <v>0.6069577393075356</v>
      </c>
    </row>
    <row r="121" spans="1:14" ht="15">
      <c r="A121" s="196" t="s">
        <v>213</v>
      </c>
      <c r="B121" s="199" t="s">
        <v>40</v>
      </c>
      <c r="C121" s="160">
        <v>7700000</v>
      </c>
      <c r="D121" s="160">
        <f>2915654+2931400</f>
        <v>5847054</v>
      </c>
      <c r="E121" s="160"/>
      <c r="F121" s="160"/>
      <c r="G121" s="200"/>
      <c r="H121" s="201"/>
      <c r="I121" s="201"/>
      <c r="J121" s="160">
        <v>7500000</v>
      </c>
      <c r="K121" s="160">
        <v>7500000</v>
      </c>
      <c r="L121" s="160">
        <v>4368054</v>
      </c>
      <c r="M121" s="160">
        <f t="shared" si="26"/>
        <v>3131946</v>
      </c>
      <c r="N121" s="304">
        <f>L121/C121</f>
        <v>0.5672797402597403</v>
      </c>
    </row>
    <row r="122" spans="1:14" ht="15">
      <c r="A122" s="196" t="s">
        <v>211</v>
      </c>
      <c r="B122" s="199" t="s">
        <v>38</v>
      </c>
      <c r="C122" s="160">
        <v>2120000</v>
      </c>
      <c r="D122" s="160">
        <f>675775+916500</f>
        <v>1592275</v>
      </c>
      <c r="E122" s="160"/>
      <c r="F122" s="160"/>
      <c r="G122" s="202"/>
      <c r="H122" s="159"/>
      <c r="I122" s="159"/>
      <c r="J122" s="160">
        <v>2120000</v>
      </c>
      <c r="K122" s="160">
        <v>2120000</v>
      </c>
      <c r="L122" s="160">
        <v>1592271</v>
      </c>
      <c r="M122" s="160">
        <f t="shared" si="26"/>
        <v>527729</v>
      </c>
      <c r="N122" s="304">
        <f>L122/C122</f>
        <v>0.7510712264150944</v>
      </c>
    </row>
    <row r="123" spans="1:14" ht="15" hidden="1">
      <c r="A123" s="196"/>
      <c r="B123" s="204"/>
      <c r="C123" s="160"/>
      <c r="D123" s="160"/>
      <c r="E123" s="160"/>
      <c r="F123" s="160"/>
      <c r="G123" s="202"/>
      <c r="H123" s="159"/>
      <c r="I123" s="159"/>
      <c r="J123" s="160"/>
      <c r="K123" s="160"/>
      <c r="L123" s="160"/>
      <c r="M123" s="160">
        <f t="shared" si="26"/>
        <v>0</v>
      </c>
      <c r="N123" s="304"/>
    </row>
    <row r="124" spans="1:14" ht="15" hidden="1">
      <c r="A124" s="196"/>
      <c r="B124" s="204"/>
      <c r="C124" s="160"/>
      <c r="D124" s="160"/>
      <c r="E124" s="160"/>
      <c r="F124" s="160"/>
      <c r="G124" s="202"/>
      <c r="H124" s="159"/>
      <c r="I124" s="159"/>
      <c r="J124" s="160"/>
      <c r="K124" s="160"/>
      <c r="L124" s="160"/>
      <c r="M124" s="160">
        <f t="shared" si="26"/>
        <v>0</v>
      </c>
      <c r="N124" s="304"/>
    </row>
    <row r="125" spans="1:14" ht="15" hidden="1">
      <c r="A125" s="196"/>
      <c r="B125" s="204"/>
      <c r="C125" s="160"/>
      <c r="D125" s="160"/>
      <c r="E125" s="160"/>
      <c r="F125" s="160"/>
      <c r="G125" s="202"/>
      <c r="H125" s="159"/>
      <c r="I125" s="159"/>
      <c r="J125" s="160"/>
      <c r="K125" s="160"/>
      <c r="L125" s="160"/>
      <c r="M125" s="160">
        <f t="shared" si="26"/>
        <v>0</v>
      </c>
      <c r="N125" s="304"/>
    </row>
    <row r="126" spans="1:14" ht="15" hidden="1">
      <c r="A126" s="196"/>
      <c r="B126" s="204"/>
      <c r="C126" s="160"/>
      <c r="D126" s="160"/>
      <c r="E126" s="160"/>
      <c r="F126" s="160"/>
      <c r="G126" s="202"/>
      <c r="H126" s="159"/>
      <c r="I126" s="159"/>
      <c r="J126" s="160"/>
      <c r="K126" s="160"/>
      <c r="L126" s="160"/>
      <c r="M126" s="160">
        <f t="shared" si="26"/>
        <v>0</v>
      </c>
      <c r="N126" s="304"/>
    </row>
    <row r="127" spans="1:14" ht="15" hidden="1">
      <c r="A127" s="203" t="s">
        <v>3</v>
      </c>
      <c r="B127" s="204"/>
      <c r="C127" s="160">
        <f>D127+E127+F127+G127</f>
        <v>0</v>
      </c>
      <c r="D127" s="160"/>
      <c r="E127" s="160"/>
      <c r="F127" s="160"/>
      <c r="G127" s="202"/>
      <c r="H127" s="159"/>
      <c r="I127" s="159"/>
      <c r="J127" s="160"/>
      <c r="K127" s="160">
        <f>J127</f>
        <v>0</v>
      </c>
      <c r="L127" s="160"/>
      <c r="M127" s="160">
        <f t="shared" si="26"/>
        <v>0</v>
      </c>
      <c r="N127" s="304"/>
    </row>
    <row r="128" spans="1:14" ht="15">
      <c r="A128" s="205" t="s">
        <v>4</v>
      </c>
      <c r="B128" s="192"/>
      <c r="C128" s="193">
        <f>C129+C130+C131+C132</f>
        <v>83500</v>
      </c>
      <c r="D128" s="193">
        <f aca="true" t="shared" si="28" ref="D128:M128">D129+D130+D131+D132</f>
        <v>47000</v>
      </c>
      <c r="E128" s="193">
        <f t="shared" si="28"/>
        <v>300000</v>
      </c>
      <c r="F128" s="193">
        <f t="shared" si="28"/>
        <v>300000</v>
      </c>
      <c r="G128" s="193">
        <f t="shared" si="28"/>
        <v>300000</v>
      </c>
      <c r="H128" s="193">
        <f t="shared" si="28"/>
        <v>300000</v>
      </c>
      <c r="I128" s="193">
        <f t="shared" si="28"/>
        <v>300000</v>
      </c>
      <c r="J128" s="193">
        <f t="shared" si="28"/>
        <v>83500</v>
      </c>
      <c r="K128" s="193">
        <f t="shared" si="28"/>
        <v>83500</v>
      </c>
      <c r="L128" s="193">
        <f t="shared" si="28"/>
        <v>38500</v>
      </c>
      <c r="M128" s="193">
        <f t="shared" si="28"/>
        <v>45000</v>
      </c>
      <c r="N128" s="311">
        <f>L128/C128</f>
        <v>0.46107784431137727</v>
      </c>
    </row>
    <row r="129" spans="1:14" ht="15">
      <c r="A129" s="206" t="s">
        <v>49</v>
      </c>
      <c r="B129" s="199" t="s">
        <v>56</v>
      </c>
      <c r="C129" s="160">
        <v>83500</v>
      </c>
      <c r="D129" s="160">
        <v>47000</v>
      </c>
      <c r="E129" s="160"/>
      <c r="F129" s="160"/>
      <c r="G129" s="202"/>
      <c r="H129" s="159"/>
      <c r="I129" s="159"/>
      <c r="J129" s="160">
        <v>83500</v>
      </c>
      <c r="K129" s="160">
        <v>83500</v>
      </c>
      <c r="L129" s="160">
        <f>38500</f>
        <v>38500</v>
      </c>
      <c r="M129" s="160">
        <f t="shared" si="26"/>
        <v>45000</v>
      </c>
      <c r="N129" s="304">
        <f>L129/C129</f>
        <v>0.46107784431137727</v>
      </c>
    </row>
    <row r="130" spans="1:14" ht="15" hidden="1">
      <c r="A130" s="203"/>
      <c r="B130" s="199" t="s">
        <v>39</v>
      </c>
      <c r="C130" s="160"/>
      <c r="D130" s="160"/>
      <c r="E130" s="160">
        <v>300000</v>
      </c>
      <c r="F130" s="160">
        <v>300000</v>
      </c>
      <c r="G130" s="160">
        <v>300000</v>
      </c>
      <c r="H130" s="160">
        <v>300000</v>
      </c>
      <c r="I130" s="160">
        <v>300000</v>
      </c>
      <c r="J130" s="160"/>
      <c r="K130" s="160"/>
      <c r="L130" s="160"/>
      <c r="M130" s="160">
        <f t="shared" si="26"/>
        <v>0</v>
      </c>
      <c r="N130" s="304"/>
    </row>
    <row r="131" spans="1:14" ht="15" hidden="1">
      <c r="A131" s="156"/>
      <c r="B131" s="183" t="s">
        <v>40</v>
      </c>
      <c r="C131" s="157"/>
      <c r="D131" s="157"/>
      <c r="E131" s="157"/>
      <c r="F131" s="157"/>
      <c r="G131" s="158"/>
      <c r="H131" s="159"/>
      <c r="I131" s="159"/>
      <c r="J131" s="157"/>
      <c r="K131" s="157"/>
      <c r="L131" s="157"/>
      <c r="M131" s="160">
        <f t="shared" si="26"/>
        <v>0</v>
      </c>
      <c r="N131" s="304"/>
    </row>
    <row r="132" spans="1:14" ht="15" hidden="1">
      <c r="A132" s="156"/>
      <c r="B132" s="183" t="s">
        <v>38</v>
      </c>
      <c r="C132" s="157"/>
      <c r="D132" s="157"/>
      <c r="E132" s="157"/>
      <c r="F132" s="157"/>
      <c r="G132" s="158"/>
      <c r="H132" s="159"/>
      <c r="I132" s="159"/>
      <c r="J132" s="157"/>
      <c r="K132" s="157"/>
      <c r="L132" s="157"/>
      <c r="M132" s="160">
        <f t="shared" si="26"/>
        <v>0</v>
      </c>
      <c r="N132" s="304"/>
    </row>
    <row r="133" spans="1:14" ht="15">
      <c r="A133" s="207" t="s">
        <v>7</v>
      </c>
      <c r="B133" s="161"/>
      <c r="C133" s="157"/>
      <c r="D133" s="157"/>
      <c r="E133" s="157"/>
      <c r="F133" s="157"/>
      <c r="G133" s="158"/>
      <c r="H133" s="159"/>
      <c r="I133" s="159"/>
      <c r="J133" s="165">
        <f>K133</f>
        <v>0</v>
      </c>
      <c r="K133" s="165">
        <f>L133</f>
        <v>0</v>
      </c>
      <c r="L133" s="165"/>
      <c r="M133" s="157">
        <f t="shared" si="26"/>
        <v>0</v>
      </c>
      <c r="N133" s="303"/>
    </row>
    <row r="134" spans="1:14" ht="15">
      <c r="A134" s="166" t="s">
        <v>8</v>
      </c>
      <c r="B134" s="161"/>
      <c r="C134" s="157"/>
      <c r="D134" s="157"/>
      <c r="E134" s="157"/>
      <c r="F134" s="157"/>
      <c r="G134" s="158"/>
      <c r="H134" s="159"/>
      <c r="I134" s="159"/>
      <c r="J134" s="157"/>
      <c r="K134" s="157"/>
      <c r="L134" s="157"/>
      <c r="M134" s="157"/>
      <c r="N134" s="303"/>
    </row>
    <row r="135" spans="1:14" ht="15">
      <c r="A135" s="208" t="s">
        <v>41</v>
      </c>
      <c r="B135" s="209" t="s">
        <v>50</v>
      </c>
      <c r="C135" s="170">
        <f>D135+E135+F135+G135</f>
        <v>0</v>
      </c>
      <c r="D135" s="170"/>
      <c r="E135" s="170"/>
      <c r="F135" s="170"/>
      <c r="G135" s="186"/>
      <c r="H135" s="159"/>
      <c r="I135" s="159"/>
      <c r="J135" s="170"/>
      <c r="K135" s="170"/>
      <c r="L135" s="170"/>
      <c r="M135" s="170">
        <f>J135-L135</f>
        <v>0</v>
      </c>
      <c r="N135" s="305"/>
    </row>
    <row r="136" spans="1:14" ht="15">
      <c r="A136" s="210" t="s">
        <v>42</v>
      </c>
      <c r="B136" s="209" t="s">
        <v>51</v>
      </c>
      <c r="C136" s="170">
        <f aca="true" t="shared" si="29" ref="C136:C147">D136+E136+F136+G136</f>
        <v>0</v>
      </c>
      <c r="D136" s="170"/>
      <c r="E136" s="170"/>
      <c r="F136" s="170"/>
      <c r="G136" s="186"/>
      <c r="H136" s="159"/>
      <c r="I136" s="159"/>
      <c r="J136" s="170"/>
      <c r="K136" s="170"/>
      <c r="L136" s="170"/>
      <c r="M136" s="170">
        <f aca="true" t="shared" si="30" ref="M136:M148">J136-L136</f>
        <v>0</v>
      </c>
      <c r="N136" s="305"/>
    </row>
    <row r="137" spans="1:14" ht="14.25">
      <c r="A137" s="208" t="s">
        <v>43</v>
      </c>
      <c r="B137" s="209" t="s">
        <v>40</v>
      </c>
      <c r="C137" s="170">
        <f>C131+C113+C112+C108+C107+C121</f>
        <v>8150806</v>
      </c>
      <c r="D137" s="170">
        <f aca="true" t="shared" si="31" ref="D137:M137">D131+D113+D112+D108+D107+D121</f>
        <v>6297860</v>
      </c>
      <c r="E137" s="170">
        <f t="shared" si="31"/>
        <v>450806</v>
      </c>
      <c r="F137" s="170">
        <f t="shared" si="31"/>
        <v>450806</v>
      </c>
      <c r="G137" s="170">
        <f t="shared" si="31"/>
        <v>450806</v>
      </c>
      <c r="H137" s="170">
        <f t="shared" si="31"/>
        <v>450806</v>
      </c>
      <c r="I137" s="170">
        <f t="shared" si="31"/>
        <v>450806</v>
      </c>
      <c r="J137" s="170">
        <f t="shared" si="31"/>
        <v>7950806</v>
      </c>
      <c r="K137" s="170">
        <f t="shared" si="31"/>
        <v>7950806</v>
      </c>
      <c r="L137" s="170">
        <f t="shared" si="31"/>
        <v>4818860</v>
      </c>
      <c r="M137" s="170">
        <f t="shared" si="31"/>
        <v>3131946</v>
      </c>
      <c r="N137" s="305">
        <f>L137/C137</f>
        <v>0.5912126972473642</v>
      </c>
    </row>
    <row r="138" spans="1:14" ht="15">
      <c r="A138" s="210" t="s">
        <v>44</v>
      </c>
      <c r="B138" s="209" t="s">
        <v>52</v>
      </c>
      <c r="C138" s="170">
        <f t="shared" si="29"/>
        <v>0</v>
      </c>
      <c r="D138" s="170"/>
      <c r="E138" s="170"/>
      <c r="F138" s="170"/>
      <c r="G138" s="186"/>
      <c r="H138" s="159"/>
      <c r="I138" s="159"/>
      <c r="J138" s="170"/>
      <c r="K138" s="170"/>
      <c r="L138" s="170"/>
      <c r="M138" s="170">
        <f t="shared" si="30"/>
        <v>0</v>
      </c>
      <c r="N138" s="305"/>
    </row>
    <row r="139" spans="1:14" ht="14.25">
      <c r="A139" s="210" t="s">
        <v>45</v>
      </c>
      <c r="B139" s="209" t="s">
        <v>38</v>
      </c>
      <c r="C139" s="170">
        <f>C132+C122+C110+C105</f>
        <v>2120000</v>
      </c>
      <c r="D139" s="170">
        <f aca="true" t="shared" si="32" ref="D139:M139">D132+D122+D110+D105</f>
        <v>1592275</v>
      </c>
      <c r="E139" s="170">
        <f t="shared" si="32"/>
        <v>0</v>
      </c>
      <c r="F139" s="170">
        <f t="shared" si="32"/>
        <v>0</v>
      </c>
      <c r="G139" s="170">
        <f t="shared" si="32"/>
        <v>0</v>
      </c>
      <c r="H139" s="170">
        <f t="shared" si="32"/>
        <v>0</v>
      </c>
      <c r="I139" s="170">
        <f t="shared" si="32"/>
        <v>0</v>
      </c>
      <c r="J139" s="170">
        <f t="shared" si="32"/>
        <v>2120000</v>
      </c>
      <c r="K139" s="170">
        <f t="shared" si="32"/>
        <v>2120000</v>
      </c>
      <c r="L139" s="170">
        <f t="shared" si="32"/>
        <v>1592271</v>
      </c>
      <c r="M139" s="170">
        <f t="shared" si="32"/>
        <v>527729</v>
      </c>
      <c r="N139" s="305">
        <f aca="true" t="shared" si="33" ref="N139:N146">L139/C139</f>
        <v>0.7510712264150944</v>
      </c>
    </row>
    <row r="140" spans="1:14" ht="15">
      <c r="A140" s="210" t="s">
        <v>46</v>
      </c>
      <c r="B140" s="209" t="s">
        <v>53</v>
      </c>
      <c r="C140" s="170">
        <f t="shared" si="29"/>
        <v>0</v>
      </c>
      <c r="D140" s="170"/>
      <c r="E140" s="170"/>
      <c r="F140" s="170"/>
      <c r="G140" s="186"/>
      <c r="H140" s="159"/>
      <c r="I140" s="159"/>
      <c r="J140" s="170"/>
      <c r="K140" s="170"/>
      <c r="L140" s="170"/>
      <c r="M140" s="170">
        <f t="shared" si="30"/>
        <v>0</v>
      </c>
      <c r="N140" s="305"/>
    </row>
    <row r="141" spans="1:14" ht="15">
      <c r="A141" s="210" t="s">
        <v>47</v>
      </c>
      <c r="B141" s="209" t="s">
        <v>54</v>
      </c>
      <c r="C141" s="170">
        <f t="shared" si="29"/>
        <v>0</v>
      </c>
      <c r="D141" s="170"/>
      <c r="E141" s="170"/>
      <c r="F141" s="170"/>
      <c r="G141" s="186"/>
      <c r="H141" s="159"/>
      <c r="I141" s="159"/>
      <c r="J141" s="170"/>
      <c r="K141" s="170"/>
      <c r="L141" s="170"/>
      <c r="M141" s="170">
        <f t="shared" si="30"/>
        <v>0</v>
      </c>
      <c r="N141" s="305"/>
    </row>
    <row r="142" spans="1:14" ht="15">
      <c r="A142" s="210" t="s">
        <v>48</v>
      </c>
      <c r="B142" s="209" t="s">
        <v>55</v>
      </c>
      <c r="C142" s="170">
        <f t="shared" si="29"/>
        <v>0</v>
      </c>
      <c r="D142" s="170"/>
      <c r="E142" s="170"/>
      <c r="F142" s="170"/>
      <c r="G142" s="186"/>
      <c r="H142" s="159"/>
      <c r="I142" s="159"/>
      <c r="J142" s="170"/>
      <c r="K142" s="170"/>
      <c r="L142" s="170"/>
      <c r="M142" s="170">
        <f t="shared" si="30"/>
        <v>0</v>
      </c>
      <c r="N142" s="305"/>
    </row>
    <row r="143" spans="1:14" ht="14.25">
      <c r="A143" s="208" t="s">
        <v>49</v>
      </c>
      <c r="B143" s="209" t="s">
        <v>56</v>
      </c>
      <c r="C143" s="170">
        <f>C129+C115</f>
        <v>283500</v>
      </c>
      <c r="D143" s="170">
        <f aca="true" t="shared" si="34" ref="D143:M143">D129+D115</f>
        <v>246000</v>
      </c>
      <c r="E143" s="170">
        <f t="shared" si="34"/>
        <v>0</v>
      </c>
      <c r="F143" s="170">
        <f t="shared" si="34"/>
        <v>0</v>
      </c>
      <c r="G143" s="170">
        <f t="shared" si="34"/>
        <v>0</v>
      </c>
      <c r="H143" s="170">
        <f t="shared" si="34"/>
        <v>0</v>
      </c>
      <c r="I143" s="170">
        <f t="shared" si="34"/>
        <v>0</v>
      </c>
      <c r="J143" s="170">
        <f t="shared" si="34"/>
        <v>104364</v>
      </c>
      <c r="K143" s="170">
        <f t="shared" si="34"/>
        <v>104364</v>
      </c>
      <c r="L143" s="170">
        <f t="shared" si="34"/>
        <v>59364</v>
      </c>
      <c r="M143" s="170">
        <f t="shared" si="34"/>
        <v>45000</v>
      </c>
      <c r="N143" s="305">
        <f t="shared" si="33"/>
        <v>0.2093968253968254</v>
      </c>
    </row>
    <row r="144" spans="1:14" ht="14.25">
      <c r="A144" s="208" t="s">
        <v>57</v>
      </c>
      <c r="B144" s="209" t="s">
        <v>39</v>
      </c>
      <c r="C144" s="170">
        <f>C130+C116+C111+C106</f>
        <v>3725000</v>
      </c>
      <c r="D144" s="170">
        <f aca="true" t="shared" si="35" ref="D144:M144">D130+D116+D111+D106</f>
        <v>2493210</v>
      </c>
      <c r="E144" s="170">
        <f t="shared" si="35"/>
        <v>300000</v>
      </c>
      <c r="F144" s="170">
        <f t="shared" si="35"/>
        <v>300000</v>
      </c>
      <c r="G144" s="170">
        <f t="shared" si="35"/>
        <v>300000</v>
      </c>
      <c r="H144" s="170">
        <f t="shared" si="35"/>
        <v>300000</v>
      </c>
      <c r="I144" s="170">
        <f t="shared" si="35"/>
        <v>300000</v>
      </c>
      <c r="J144" s="170">
        <f t="shared" si="35"/>
        <v>2488954</v>
      </c>
      <c r="K144" s="170">
        <f t="shared" si="35"/>
        <v>2488954</v>
      </c>
      <c r="L144" s="170">
        <f t="shared" si="35"/>
        <v>2145765</v>
      </c>
      <c r="M144" s="170">
        <f t="shared" si="35"/>
        <v>343189</v>
      </c>
      <c r="N144" s="305">
        <f t="shared" si="33"/>
        <v>0.5760442953020134</v>
      </c>
    </row>
    <row r="145" spans="1:14" ht="15">
      <c r="A145" s="208" t="s">
        <v>58</v>
      </c>
      <c r="B145" s="209" t="s">
        <v>62</v>
      </c>
      <c r="C145" s="170">
        <f t="shared" si="29"/>
        <v>0</v>
      </c>
      <c r="D145" s="170"/>
      <c r="E145" s="170"/>
      <c r="F145" s="170"/>
      <c r="G145" s="186"/>
      <c r="H145" s="159"/>
      <c r="I145" s="159"/>
      <c r="J145" s="170"/>
      <c r="K145" s="170"/>
      <c r="L145" s="170"/>
      <c r="M145" s="170">
        <f t="shared" si="30"/>
        <v>0</v>
      </c>
      <c r="N145" s="305"/>
    </row>
    <row r="146" spans="1:14" ht="26.25">
      <c r="A146" s="210" t="s">
        <v>59</v>
      </c>
      <c r="B146" s="209" t="s">
        <v>63</v>
      </c>
      <c r="C146" s="170">
        <f>C114</f>
        <v>3800000</v>
      </c>
      <c r="D146" s="170">
        <f>D114</f>
        <v>3100000</v>
      </c>
      <c r="E146" s="170">
        <f>E114</f>
        <v>0</v>
      </c>
      <c r="F146" s="170">
        <f>F114</f>
        <v>0</v>
      </c>
      <c r="G146" s="186">
        <f>G114</f>
        <v>0</v>
      </c>
      <c r="H146" s="382" t="s">
        <v>120</v>
      </c>
      <c r="I146" s="383"/>
      <c r="J146" s="170">
        <f>J114</f>
        <v>3134379</v>
      </c>
      <c r="K146" s="170">
        <f>K114</f>
        <v>3134379</v>
      </c>
      <c r="L146" s="170">
        <f>L114</f>
        <v>1795701</v>
      </c>
      <c r="M146" s="170">
        <f t="shared" si="30"/>
        <v>1338678</v>
      </c>
      <c r="N146" s="305">
        <f t="shared" si="33"/>
        <v>0.4725528947368421</v>
      </c>
    </row>
    <row r="147" spans="1:14" ht="15">
      <c r="A147" s="208" t="s">
        <v>60</v>
      </c>
      <c r="B147" s="209" t="s">
        <v>64</v>
      </c>
      <c r="C147" s="170">
        <f t="shared" si="29"/>
        <v>0</v>
      </c>
      <c r="D147" s="170"/>
      <c r="E147" s="170"/>
      <c r="F147" s="170"/>
      <c r="G147" s="186"/>
      <c r="H147" s="162" t="s">
        <v>112</v>
      </c>
      <c r="I147" s="167">
        <f>C109+C120+C128</f>
        <v>17400425</v>
      </c>
      <c r="J147" s="170"/>
      <c r="K147" s="170"/>
      <c r="L147" s="170"/>
      <c r="M147" s="170">
        <f t="shared" si="30"/>
        <v>0</v>
      </c>
      <c r="N147" s="305"/>
    </row>
    <row r="148" spans="1:14" ht="14.25">
      <c r="A148" s="211" t="s">
        <v>61</v>
      </c>
      <c r="B148" s="212" t="s">
        <v>65</v>
      </c>
      <c r="C148" s="213">
        <f>C126</f>
        <v>0</v>
      </c>
      <c r="D148" s="213">
        <f aca="true" t="shared" si="36" ref="D148:L148">D126</f>
        <v>0</v>
      </c>
      <c r="E148" s="213">
        <f t="shared" si="36"/>
        <v>0</v>
      </c>
      <c r="F148" s="213">
        <f t="shared" si="36"/>
        <v>0</v>
      </c>
      <c r="G148" s="213">
        <f t="shared" si="36"/>
        <v>0</v>
      </c>
      <c r="H148" s="213">
        <f t="shared" si="36"/>
        <v>0</v>
      </c>
      <c r="I148" s="213">
        <f t="shared" si="36"/>
        <v>0</v>
      </c>
      <c r="J148" s="213">
        <f t="shared" si="36"/>
        <v>0</v>
      </c>
      <c r="K148" s="213">
        <f t="shared" si="36"/>
        <v>0</v>
      </c>
      <c r="L148" s="213">
        <f t="shared" si="36"/>
        <v>0</v>
      </c>
      <c r="M148" s="170">
        <f t="shared" si="30"/>
        <v>0</v>
      </c>
      <c r="N148" s="305"/>
    </row>
    <row r="149" spans="1:14" ht="15" thickBot="1">
      <c r="A149" s="214" t="s">
        <v>7</v>
      </c>
      <c r="B149" s="215" t="s">
        <v>65</v>
      </c>
      <c r="C149" s="213"/>
      <c r="D149" s="213"/>
      <c r="E149" s="213"/>
      <c r="F149" s="213"/>
      <c r="G149" s="213"/>
      <c r="H149" s="213"/>
      <c r="I149" s="213"/>
      <c r="J149" s="216">
        <f>J133</f>
        <v>0</v>
      </c>
      <c r="K149" s="216">
        <f>K133</f>
        <v>0</v>
      </c>
      <c r="L149" s="216">
        <f>L133</f>
        <v>0</v>
      </c>
      <c r="M149" s="213"/>
      <c r="N149" s="314"/>
    </row>
    <row r="150" spans="1:14" ht="24.75" customHeight="1">
      <c r="A150" s="217" t="s">
        <v>66</v>
      </c>
      <c r="B150" s="181" t="s">
        <v>172</v>
      </c>
      <c r="C150" s="218">
        <f>C151+C155+C161+C164+C169+C175</f>
        <v>34466083</v>
      </c>
      <c r="D150" s="218">
        <f aca="true" t="shared" si="37" ref="D150:M150">D151+D155+D161+D164+D169+D175</f>
        <v>19107383</v>
      </c>
      <c r="E150" s="218">
        <f t="shared" si="37"/>
        <v>6614000</v>
      </c>
      <c r="F150" s="218">
        <f t="shared" si="37"/>
        <v>6614000</v>
      </c>
      <c r="G150" s="218">
        <f t="shared" si="37"/>
        <v>6614000</v>
      </c>
      <c r="H150" s="218">
        <f t="shared" si="37"/>
        <v>6614000</v>
      </c>
      <c r="I150" s="218">
        <f t="shared" si="37"/>
        <v>6614000</v>
      </c>
      <c r="J150" s="218">
        <f t="shared" si="37"/>
        <v>16707780</v>
      </c>
      <c r="K150" s="218">
        <f t="shared" si="37"/>
        <v>16707780</v>
      </c>
      <c r="L150" s="218">
        <f t="shared" si="37"/>
        <v>15159620</v>
      </c>
      <c r="M150" s="218">
        <f t="shared" si="37"/>
        <v>1548160</v>
      </c>
      <c r="N150" s="315">
        <f aca="true" t="shared" si="38" ref="N150:N160">L150/C150</f>
        <v>0.43984168435966453</v>
      </c>
    </row>
    <row r="151" spans="1:14" ht="15">
      <c r="A151" s="191" t="s">
        <v>163</v>
      </c>
      <c r="B151" s="195"/>
      <c r="C151" s="193">
        <f>C152+C153+C154</f>
        <v>12874000</v>
      </c>
      <c r="D151" s="193">
        <f aca="true" t="shared" si="39" ref="D151:M151">D152+D153+D154</f>
        <v>7840000</v>
      </c>
      <c r="E151" s="193">
        <f t="shared" si="39"/>
        <v>6614000</v>
      </c>
      <c r="F151" s="193">
        <f t="shared" si="39"/>
        <v>6614000</v>
      </c>
      <c r="G151" s="193">
        <f t="shared" si="39"/>
        <v>6614000</v>
      </c>
      <c r="H151" s="193">
        <f t="shared" si="39"/>
        <v>6614000</v>
      </c>
      <c r="I151" s="193">
        <f t="shared" si="39"/>
        <v>6614000</v>
      </c>
      <c r="J151" s="193">
        <f t="shared" si="39"/>
        <v>7840000</v>
      </c>
      <c r="K151" s="193">
        <f t="shared" si="39"/>
        <v>7840000</v>
      </c>
      <c r="L151" s="193">
        <f t="shared" si="39"/>
        <v>6310883</v>
      </c>
      <c r="M151" s="193">
        <f t="shared" si="39"/>
        <v>1529117</v>
      </c>
      <c r="N151" s="311">
        <f t="shared" si="38"/>
        <v>0.49020374398011496</v>
      </c>
    </row>
    <row r="152" spans="1:14" ht="15">
      <c r="A152" s="185" t="s">
        <v>67</v>
      </c>
      <c r="B152" s="219" t="s">
        <v>227</v>
      </c>
      <c r="C152" s="160">
        <v>3020000</v>
      </c>
      <c r="D152" s="157">
        <f>795000+850000</f>
        <v>1645000</v>
      </c>
      <c r="E152" s="157">
        <v>320000</v>
      </c>
      <c r="F152" s="157">
        <v>320000</v>
      </c>
      <c r="G152" s="157">
        <v>320000</v>
      </c>
      <c r="H152" s="157">
        <v>320000</v>
      </c>
      <c r="I152" s="157">
        <v>320000</v>
      </c>
      <c r="J152" s="157">
        <v>1645000</v>
      </c>
      <c r="K152" s="157">
        <v>1645000</v>
      </c>
      <c r="L152" s="157">
        <v>1535846</v>
      </c>
      <c r="M152" s="157">
        <f>J152-L152</f>
        <v>109154</v>
      </c>
      <c r="N152" s="303">
        <f t="shared" si="38"/>
        <v>0.5085582781456953</v>
      </c>
    </row>
    <row r="153" spans="1:14" ht="15">
      <c r="A153" s="185" t="s">
        <v>68</v>
      </c>
      <c r="B153" s="219" t="s">
        <v>75</v>
      </c>
      <c r="C153" s="160">
        <v>2040000</v>
      </c>
      <c r="D153" s="157">
        <f>520000+580000</f>
        <v>1100000</v>
      </c>
      <c r="E153" s="157"/>
      <c r="F153" s="157"/>
      <c r="G153" s="157"/>
      <c r="H153" s="157"/>
      <c r="I153" s="157"/>
      <c r="J153" s="157">
        <v>1100000</v>
      </c>
      <c r="K153" s="157">
        <v>1100000</v>
      </c>
      <c r="L153" s="157">
        <v>947837</v>
      </c>
      <c r="M153" s="157">
        <f>J153-L153</f>
        <v>152163</v>
      </c>
      <c r="N153" s="303">
        <f t="shared" si="38"/>
        <v>0.46462598039215686</v>
      </c>
    </row>
    <row r="154" spans="1:14" ht="15">
      <c r="A154" s="185" t="s">
        <v>69</v>
      </c>
      <c r="B154" s="219" t="s">
        <v>183</v>
      </c>
      <c r="C154" s="160">
        <v>7814000</v>
      </c>
      <c r="D154" s="157">
        <f>2895000+2200000</f>
        <v>5095000</v>
      </c>
      <c r="E154" s="157">
        <f>8034000-1740000</f>
        <v>6294000</v>
      </c>
      <c r="F154" s="157">
        <f>8034000-1740000</f>
        <v>6294000</v>
      </c>
      <c r="G154" s="157">
        <f>8034000-1740000</f>
        <v>6294000</v>
      </c>
      <c r="H154" s="157">
        <f>8034000-1740000</f>
        <v>6294000</v>
      </c>
      <c r="I154" s="157">
        <f>8034000-1740000</f>
        <v>6294000</v>
      </c>
      <c r="J154" s="157">
        <v>5095000</v>
      </c>
      <c r="K154" s="157">
        <v>5095000</v>
      </c>
      <c r="L154" s="157">
        <v>3827200</v>
      </c>
      <c r="M154" s="157">
        <f>J154-L154</f>
        <v>1267800</v>
      </c>
      <c r="N154" s="303">
        <f t="shared" si="38"/>
        <v>0.48978756078832864</v>
      </c>
    </row>
    <row r="155" spans="1:14" ht="15">
      <c r="A155" s="191" t="s">
        <v>164</v>
      </c>
      <c r="B155" s="198"/>
      <c r="C155" s="193">
        <f>C156+C157+C158</f>
        <v>1335000</v>
      </c>
      <c r="D155" s="193">
        <f aca="true" t="shared" si="40" ref="D155:M155">D156+D157+D158</f>
        <v>830000</v>
      </c>
      <c r="E155" s="193">
        <f t="shared" si="40"/>
        <v>0</v>
      </c>
      <c r="F155" s="193">
        <f t="shared" si="40"/>
        <v>0</v>
      </c>
      <c r="G155" s="193">
        <f t="shared" si="40"/>
        <v>0</v>
      </c>
      <c r="H155" s="193">
        <f t="shared" si="40"/>
        <v>0</v>
      </c>
      <c r="I155" s="193">
        <f t="shared" si="40"/>
        <v>0</v>
      </c>
      <c r="J155" s="193">
        <f>J156+J157+J158</f>
        <v>443762</v>
      </c>
      <c r="K155" s="193">
        <f>K156+K157+K158</f>
        <v>443762</v>
      </c>
      <c r="L155" s="193">
        <f t="shared" si="40"/>
        <v>443762</v>
      </c>
      <c r="M155" s="193">
        <f t="shared" si="40"/>
        <v>0</v>
      </c>
      <c r="N155" s="311">
        <f t="shared" si="38"/>
        <v>0.3324059925093633</v>
      </c>
    </row>
    <row r="156" spans="1:14" ht="15">
      <c r="A156" s="185" t="s">
        <v>67</v>
      </c>
      <c r="B156" s="219" t="s">
        <v>227</v>
      </c>
      <c r="C156" s="157">
        <v>700000</v>
      </c>
      <c r="D156" s="157">
        <f>230000+220000</f>
        <v>450000</v>
      </c>
      <c r="E156" s="157"/>
      <c r="F156" s="157"/>
      <c r="G156" s="157"/>
      <c r="H156" s="157"/>
      <c r="I156" s="157"/>
      <c r="J156" s="157">
        <v>195988</v>
      </c>
      <c r="K156" s="157">
        <v>195988</v>
      </c>
      <c r="L156" s="157">
        <v>195988</v>
      </c>
      <c r="M156" s="157">
        <f>J156-L156</f>
        <v>0</v>
      </c>
      <c r="N156" s="303">
        <f t="shared" si="38"/>
        <v>0.27998285714285714</v>
      </c>
    </row>
    <row r="157" spans="1:14" ht="15">
      <c r="A157" s="185" t="s">
        <v>68</v>
      </c>
      <c r="B157" s="219" t="s">
        <v>75</v>
      </c>
      <c r="C157" s="157">
        <v>635000</v>
      </c>
      <c r="D157" s="157">
        <f>180000+200000</f>
        <v>380000</v>
      </c>
      <c r="E157" s="157"/>
      <c r="F157" s="157"/>
      <c r="G157" s="158"/>
      <c r="H157" s="159"/>
      <c r="I157" s="159"/>
      <c r="J157" s="157">
        <v>247774</v>
      </c>
      <c r="K157" s="157">
        <v>247774</v>
      </c>
      <c r="L157" s="157">
        <v>247774</v>
      </c>
      <c r="M157" s="157">
        <f>J157-L157</f>
        <v>0</v>
      </c>
      <c r="N157" s="303">
        <f t="shared" si="38"/>
        <v>0.39019527559055117</v>
      </c>
    </row>
    <row r="158" spans="1:14" ht="15" hidden="1">
      <c r="A158" s="185" t="s">
        <v>210</v>
      </c>
      <c r="B158" s="219" t="s">
        <v>74</v>
      </c>
      <c r="C158" s="157"/>
      <c r="D158" s="157"/>
      <c r="E158" s="157"/>
      <c r="F158" s="157"/>
      <c r="G158" s="158"/>
      <c r="H158" s="159"/>
      <c r="I158" s="159"/>
      <c r="J158" s="157"/>
      <c r="K158" s="157"/>
      <c r="L158" s="157"/>
      <c r="M158" s="157">
        <f>J158-L158</f>
        <v>0</v>
      </c>
      <c r="N158" s="303" t="e">
        <f t="shared" si="38"/>
        <v>#DIV/0!</v>
      </c>
    </row>
    <row r="159" spans="1:14" ht="15" hidden="1">
      <c r="A159" s="156" t="s">
        <v>0</v>
      </c>
      <c r="B159" s="183"/>
      <c r="C159" s="157"/>
      <c r="D159" s="157"/>
      <c r="E159" s="157"/>
      <c r="F159" s="157"/>
      <c r="G159" s="158"/>
      <c r="H159" s="159"/>
      <c r="I159" s="159"/>
      <c r="J159" s="157"/>
      <c r="K159" s="157"/>
      <c r="L159" s="157"/>
      <c r="M159" s="157"/>
      <c r="N159" s="303" t="e">
        <f t="shared" si="38"/>
        <v>#DIV/0!</v>
      </c>
    </row>
    <row r="160" spans="1:14" ht="15" hidden="1">
      <c r="A160" s="156" t="s">
        <v>1</v>
      </c>
      <c r="B160" s="183"/>
      <c r="C160" s="157"/>
      <c r="D160" s="157"/>
      <c r="E160" s="157"/>
      <c r="F160" s="157"/>
      <c r="G160" s="158"/>
      <c r="H160" s="159"/>
      <c r="I160" s="159"/>
      <c r="J160" s="157"/>
      <c r="K160" s="157"/>
      <c r="L160" s="157"/>
      <c r="M160" s="157"/>
      <c r="N160" s="303" t="e">
        <f t="shared" si="38"/>
        <v>#DIV/0!</v>
      </c>
    </row>
    <row r="161" spans="1:14" ht="15">
      <c r="A161" s="191" t="s">
        <v>162</v>
      </c>
      <c r="B161" s="198"/>
      <c r="C161" s="193">
        <f>C162</f>
        <v>1370500</v>
      </c>
      <c r="D161" s="193">
        <f aca="true" t="shared" si="41" ref="D161:M161">D162</f>
        <v>1000000</v>
      </c>
      <c r="E161" s="193">
        <f t="shared" si="41"/>
        <v>0</v>
      </c>
      <c r="F161" s="193">
        <f t="shared" si="41"/>
        <v>0</v>
      </c>
      <c r="G161" s="193">
        <f t="shared" si="41"/>
        <v>0</v>
      </c>
      <c r="H161" s="193">
        <f t="shared" si="41"/>
        <v>0</v>
      </c>
      <c r="I161" s="193">
        <f t="shared" si="41"/>
        <v>0</v>
      </c>
      <c r="J161" s="193">
        <f t="shared" si="41"/>
        <v>0</v>
      </c>
      <c r="K161" s="193">
        <f t="shared" si="41"/>
        <v>0</v>
      </c>
      <c r="L161" s="193">
        <f t="shared" si="41"/>
        <v>0</v>
      </c>
      <c r="M161" s="193">
        <f t="shared" si="41"/>
        <v>0</v>
      </c>
      <c r="N161" s="311"/>
    </row>
    <row r="162" spans="1:14" ht="15">
      <c r="A162" s="185" t="s">
        <v>70</v>
      </c>
      <c r="B162" s="183" t="s">
        <v>76</v>
      </c>
      <c r="C162" s="157">
        <v>1370500</v>
      </c>
      <c r="D162" s="157">
        <v>1000000</v>
      </c>
      <c r="E162" s="157"/>
      <c r="F162" s="157"/>
      <c r="G162" s="158"/>
      <c r="H162" s="159"/>
      <c r="I162" s="159"/>
      <c r="J162" s="157"/>
      <c r="K162" s="157"/>
      <c r="L162" s="157"/>
      <c r="M162" s="157">
        <f>J162-L162</f>
        <v>0</v>
      </c>
      <c r="N162" s="303"/>
    </row>
    <row r="163" spans="1:14" ht="15">
      <c r="A163" s="156" t="s">
        <v>2</v>
      </c>
      <c r="B163" s="183"/>
      <c r="C163" s="157"/>
      <c r="D163" s="157"/>
      <c r="E163" s="157"/>
      <c r="F163" s="157"/>
      <c r="G163" s="158"/>
      <c r="H163" s="159"/>
      <c r="I163" s="159"/>
      <c r="J163" s="157"/>
      <c r="K163" s="157"/>
      <c r="L163" s="157"/>
      <c r="M163" s="157"/>
      <c r="N163" s="303"/>
    </row>
    <row r="164" spans="1:14" ht="15">
      <c r="A164" s="191" t="s">
        <v>71</v>
      </c>
      <c r="B164" s="198"/>
      <c r="C164" s="193">
        <f>C166+C167+C168+C165</f>
        <v>17376583</v>
      </c>
      <c r="D164" s="193">
        <f aca="true" t="shared" si="42" ref="D164:M164">D166+D167+D168+D165</f>
        <v>8666383</v>
      </c>
      <c r="E164" s="193">
        <f t="shared" si="42"/>
        <v>0</v>
      </c>
      <c r="F164" s="193">
        <f t="shared" si="42"/>
        <v>0</v>
      </c>
      <c r="G164" s="193">
        <f t="shared" si="42"/>
        <v>0</v>
      </c>
      <c r="H164" s="193">
        <f t="shared" si="42"/>
        <v>0</v>
      </c>
      <c r="I164" s="193">
        <f t="shared" si="42"/>
        <v>0</v>
      </c>
      <c r="J164" s="193">
        <f t="shared" si="42"/>
        <v>7993111</v>
      </c>
      <c r="K164" s="193">
        <f t="shared" si="42"/>
        <v>7993111</v>
      </c>
      <c r="L164" s="193">
        <f t="shared" si="42"/>
        <v>7974068</v>
      </c>
      <c r="M164" s="193">
        <f t="shared" si="42"/>
        <v>19043</v>
      </c>
      <c r="N164" s="311">
        <f aca="true" t="shared" si="43" ref="N164:N174">L164/C164</f>
        <v>0.45889735628690637</v>
      </c>
    </row>
    <row r="165" spans="1:14" s="220" customFormat="1" ht="15">
      <c r="A165" s="196" t="s">
        <v>241</v>
      </c>
      <c r="B165" s="199" t="s">
        <v>77</v>
      </c>
      <c r="C165" s="160">
        <v>30000</v>
      </c>
      <c r="D165" s="160">
        <v>20000</v>
      </c>
      <c r="E165" s="160"/>
      <c r="F165" s="160"/>
      <c r="G165" s="160"/>
      <c r="H165" s="160"/>
      <c r="I165" s="160"/>
      <c r="J165" s="160">
        <v>30000</v>
      </c>
      <c r="K165" s="160">
        <v>30000</v>
      </c>
      <c r="L165" s="160">
        <v>10957</v>
      </c>
      <c r="M165" s="160">
        <f>J165-L165</f>
        <v>19043</v>
      </c>
      <c r="N165" s="304">
        <f t="shared" si="43"/>
        <v>0.36523333333333335</v>
      </c>
    </row>
    <row r="166" spans="1:14" ht="15">
      <c r="A166" s="185" t="s">
        <v>208</v>
      </c>
      <c r="B166" s="183" t="s">
        <v>77</v>
      </c>
      <c r="C166" s="160">
        <v>25200</v>
      </c>
      <c r="D166" s="160">
        <v>16000</v>
      </c>
      <c r="E166" s="160"/>
      <c r="F166" s="160"/>
      <c r="G166" s="160"/>
      <c r="H166" s="160"/>
      <c r="I166" s="160"/>
      <c r="J166" s="160">
        <f>392+174+800</f>
        <v>1366</v>
      </c>
      <c r="K166" s="160">
        <f>392+174+800</f>
        <v>1366</v>
      </c>
      <c r="L166" s="160">
        <f>392+174+800</f>
        <v>1366</v>
      </c>
      <c r="M166" s="160">
        <f>J166-L166</f>
        <v>0</v>
      </c>
      <c r="N166" s="304">
        <f t="shared" si="43"/>
        <v>0.05420634920634921</v>
      </c>
    </row>
    <row r="167" spans="1:14" ht="15">
      <c r="A167" s="185" t="s">
        <v>209</v>
      </c>
      <c r="B167" s="183" t="s">
        <v>227</v>
      </c>
      <c r="C167" s="160">
        <v>61000</v>
      </c>
      <c r="D167" s="160">
        <v>37000</v>
      </c>
      <c r="E167" s="160"/>
      <c r="F167" s="160"/>
      <c r="G167" s="160"/>
      <c r="H167" s="160"/>
      <c r="I167" s="160"/>
      <c r="J167" s="160">
        <v>23269</v>
      </c>
      <c r="K167" s="160">
        <v>23269</v>
      </c>
      <c r="L167" s="160">
        <v>23269</v>
      </c>
      <c r="M167" s="160">
        <f>J167-L167</f>
        <v>0</v>
      </c>
      <c r="N167" s="304">
        <f t="shared" si="43"/>
        <v>0.3814590163934426</v>
      </c>
    </row>
    <row r="168" spans="1:14" ht="15">
      <c r="A168" s="185" t="s">
        <v>72</v>
      </c>
      <c r="B168" s="183" t="s">
        <v>183</v>
      </c>
      <c r="C168" s="157">
        <v>17260383</v>
      </c>
      <c r="D168" s="157">
        <f>4090000+4503383</f>
        <v>8593383</v>
      </c>
      <c r="E168" s="157"/>
      <c r="F168" s="157"/>
      <c r="G168" s="157"/>
      <c r="H168" s="157"/>
      <c r="I168" s="157"/>
      <c r="J168" s="157">
        <v>7938476</v>
      </c>
      <c r="K168" s="157">
        <v>7938476</v>
      </c>
      <c r="L168" s="157">
        <v>7938476</v>
      </c>
      <c r="M168" s="157">
        <f>J168-L168</f>
        <v>0</v>
      </c>
      <c r="N168" s="304">
        <f t="shared" si="43"/>
        <v>0.45992467258692926</v>
      </c>
    </row>
    <row r="169" spans="1:14" ht="15">
      <c r="A169" s="191" t="s">
        <v>4</v>
      </c>
      <c r="B169" s="198"/>
      <c r="C169" s="193">
        <f>C172+C171+C170</f>
        <v>1510000</v>
      </c>
      <c r="D169" s="193">
        <f aca="true" t="shared" si="44" ref="D169:M169">D172+D171+D170</f>
        <v>771000</v>
      </c>
      <c r="E169" s="193">
        <f t="shared" si="44"/>
        <v>0</v>
      </c>
      <c r="F169" s="193">
        <f t="shared" si="44"/>
        <v>0</v>
      </c>
      <c r="G169" s="193">
        <f t="shared" si="44"/>
        <v>0</v>
      </c>
      <c r="H169" s="193">
        <f t="shared" si="44"/>
        <v>0</v>
      </c>
      <c r="I169" s="193">
        <f t="shared" si="44"/>
        <v>0</v>
      </c>
      <c r="J169" s="193">
        <f t="shared" si="44"/>
        <v>456983</v>
      </c>
      <c r="K169" s="193">
        <f t="shared" si="44"/>
        <v>456983</v>
      </c>
      <c r="L169" s="193">
        <f t="shared" si="44"/>
        <v>456983</v>
      </c>
      <c r="M169" s="193">
        <f t="shared" si="44"/>
        <v>0</v>
      </c>
      <c r="N169" s="311">
        <f t="shared" si="43"/>
        <v>0.30263774834437085</v>
      </c>
    </row>
    <row r="170" spans="1:14" ht="15">
      <c r="A170" s="185" t="s">
        <v>73</v>
      </c>
      <c r="B170" s="183" t="s">
        <v>227</v>
      </c>
      <c r="C170" s="160">
        <v>1330000</v>
      </c>
      <c r="D170" s="160">
        <f>320000+352000</f>
        <v>672000</v>
      </c>
      <c r="E170" s="160"/>
      <c r="F170" s="160"/>
      <c r="G170" s="160"/>
      <c r="H170" s="160"/>
      <c r="I170" s="160"/>
      <c r="J170" s="160">
        <v>383301</v>
      </c>
      <c r="K170" s="160">
        <v>383301</v>
      </c>
      <c r="L170" s="160">
        <v>383301</v>
      </c>
      <c r="M170" s="157">
        <f>J170-L170</f>
        <v>0</v>
      </c>
      <c r="N170" s="303">
        <f t="shared" si="43"/>
        <v>0.2881962406015038</v>
      </c>
    </row>
    <row r="171" spans="1:14" ht="15">
      <c r="A171" s="288" t="s">
        <v>255</v>
      </c>
      <c r="B171" s="289" t="s">
        <v>75</v>
      </c>
      <c r="C171" s="160">
        <v>30000</v>
      </c>
      <c r="D171" s="160">
        <v>14000</v>
      </c>
      <c r="E171" s="160"/>
      <c r="F171" s="160"/>
      <c r="G171" s="160"/>
      <c r="H171" s="160"/>
      <c r="I171" s="160"/>
      <c r="J171" s="160">
        <v>10563</v>
      </c>
      <c r="K171" s="160">
        <v>10563</v>
      </c>
      <c r="L171" s="160">
        <v>10563</v>
      </c>
      <c r="M171" s="157">
        <f>J171-L171</f>
        <v>0</v>
      </c>
      <c r="N171" s="303">
        <f t="shared" si="43"/>
        <v>0.3521</v>
      </c>
    </row>
    <row r="172" spans="1:14" ht="15">
      <c r="A172" s="287" t="s">
        <v>69</v>
      </c>
      <c r="B172" s="290" t="s">
        <v>183</v>
      </c>
      <c r="C172" s="157">
        <v>150000</v>
      </c>
      <c r="D172" s="157">
        <v>85000</v>
      </c>
      <c r="E172" s="157"/>
      <c r="F172" s="157"/>
      <c r="G172" s="157"/>
      <c r="H172" s="157"/>
      <c r="I172" s="157"/>
      <c r="J172" s="157">
        <v>63119</v>
      </c>
      <c r="K172" s="157">
        <v>63119</v>
      </c>
      <c r="L172" s="157">
        <v>63119</v>
      </c>
      <c r="M172" s="157">
        <f>J172-L172</f>
        <v>0</v>
      </c>
      <c r="N172" s="303">
        <f t="shared" si="43"/>
        <v>0.42079333333333335</v>
      </c>
    </row>
    <row r="173" spans="1:14" ht="15" hidden="1">
      <c r="A173" s="156" t="s">
        <v>5</v>
      </c>
      <c r="B173" s="161"/>
      <c r="C173" s="157"/>
      <c r="D173" s="157"/>
      <c r="E173" s="157"/>
      <c r="F173" s="157"/>
      <c r="G173" s="158"/>
      <c r="H173" s="159"/>
      <c r="I173" s="159"/>
      <c r="J173" s="157"/>
      <c r="K173" s="157"/>
      <c r="L173" s="157"/>
      <c r="M173" s="157"/>
      <c r="N173" s="303" t="e">
        <f t="shared" si="43"/>
        <v>#DIV/0!</v>
      </c>
    </row>
    <row r="174" spans="1:14" ht="15" hidden="1">
      <c r="A174" s="156" t="s">
        <v>6</v>
      </c>
      <c r="B174" s="161"/>
      <c r="C174" s="157"/>
      <c r="D174" s="157"/>
      <c r="E174" s="157"/>
      <c r="F174" s="157"/>
      <c r="G174" s="158"/>
      <c r="H174" s="159"/>
      <c r="I174" s="159"/>
      <c r="J174" s="157"/>
      <c r="K174" s="157"/>
      <c r="L174" s="157"/>
      <c r="M174" s="157"/>
      <c r="N174" s="303" t="e">
        <f t="shared" si="43"/>
        <v>#DIV/0!</v>
      </c>
    </row>
    <row r="175" spans="1:14" ht="15">
      <c r="A175" s="164" t="s">
        <v>7</v>
      </c>
      <c r="B175" s="161"/>
      <c r="C175" s="157"/>
      <c r="D175" s="157"/>
      <c r="E175" s="157"/>
      <c r="F175" s="157"/>
      <c r="G175" s="158"/>
      <c r="H175" s="159"/>
      <c r="I175" s="159"/>
      <c r="J175" s="165">
        <f>K175</f>
        <v>-26076</v>
      </c>
      <c r="K175" s="165">
        <f>L175</f>
        <v>-26076</v>
      </c>
      <c r="L175" s="165">
        <v>-26076</v>
      </c>
      <c r="M175" s="157"/>
      <c r="N175" s="303"/>
    </row>
    <row r="176" spans="1:14" ht="15">
      <c r="A176" s="166" t="s">
        <v>8</v>
      </c>
      <c r="B176" s="161"/>
      <c r="C176" s="157"/>
      <c r="D176" s="157"/>
      <c r="E176" s="157"/>
      <c r="F176" s="157"/>
      <c r="G176" s="158"/>
      <c r="H176" s="159"/>
      <c r="I176" s="159"/>
      <c r="J176" s="157"/>
      <c r="K176" s="157"/>
      <c r="L176" s="157"/>
      <c r="M176" s="157"/>
      <c r="N176" s="303"/>
    </row>
    <row r="177" spans="1:14" ht="14.25">
      <c r="A177" s="208" t="s">
        <v>82</v>
      </c>
      <c r="B177" s="221" t="s">
        <v>183</v>
      </c>
      <c r="C177" s="170">
        <f>C168+C154+C172</f>
        <v>25224383</v>
      </c>
      <c r="D177" s="170">
        <f aca="true" t="shared" si="45" ref="D177:M177">D168+D154+D172</f>
        <v>13773383</v>
      </c>
      <c r="E177" s="170">
        <f t="shared" si="45"/>
        <v>6294000</v>
      </c>
      <c r="F177" s="170">
        <f t="shared" si="45"/>
        <v>6294000</v>
      </c>
      <c r="G177" s="170">
        <f t="shared" si="45"/>
        <v>6294000</v>
      </c>
      <c r="H177" s="170">
        <f t="shared" si="45"/>
        <v>6294000</v>
      </c>
      <c r="I177" s="170">
        <f t="shared" si="45"/>
        <v>6294000</v>
      </c>
      <c r="J177" s="170">
        <f t="shared" si="45"/>
        <v>13096595</v>
      </c>
      <c r="K177" s="170">
        <f t="shared" si="45"/>
        <v>13096595</v>
      </c>
      <c r="L177" s="170">
        <f t="shared" si="45"/>
        <v>11828795</v>
      </c>
      <c r="M177" s="170">
        <f t="shared" si="45"/>
        <v>1267800</v>
      </c>
      <c r="N177" s="305">
        <f>L177/C177</f>
        <v>0.46894288752275926</v>
      </c>
    </row>
    <row r="178" spans="1:14" ht="14.25">
      <c r="A178" s="208" t="s">
        <v>78</v>
      </c>
      <c r="B178" s="221" t="s">
        <v>76</v>
      </c>
      <c r="C178" s="170">
        <f>C162</f>
        <v>1370500</v>
      </c>
      <c r="D178" s="170">
        <f aca="true" t="shared" si="46" ref="D178:L178">D162</f>
        <v>1000000</v>
      </c>
      <c r="E178" s="170">
        <f t="shared" si="46"/>
        <v>0</v>
      </c>
      <c r="F178" s="170">
        <f t="shared" si="46"/>
        <v>0</v>
      </c>
      <c r="G178" s="170">
        <f t="shared" si="46"/>
        <v>0</v>
      </c>
      <c r="H178" s="170">
        <f t="shared" si="46"/>
        <v>0</v>
      </c>
      <c r="I178" s="170">
        <f t="shared" si="46"/>
        <v>0</v>
      </c>
      <c r="J178" s="170">
        <f t="shared" si="46"/>
        <v>0</v>
      </c>
      <c r="K178" s="170">
        <f t="shared" si="46"/>
        <v>0</v>
      </c>
      <c r="L178" s="170">
        <f t="shared" si="46"/>
        <v>0</v>
      </c>
      <c r="M178" s="170">
        <f>J178-L178</f>
        <v>0</v>
      </c>
      <c r="N178" s="305"/>
    </row>
    <row r="179" spans="1:14" ht="15">
      <c r="A179" s="208" t="s">
        <v>79</v>
      </c>
      <c r="B179" s="221" t="s">
        <v>75</v>
      </c>
      <c r="C179" s="170">
        <f>C153+C157+C171</f>
        <v>2705000</v>
      </c>
      <c r="D179" s="170">
        <f>D157+D153+D171</f>
        <v>1494000</v>
      </c>
      <c r="E179" s="170">
        <f>E157+E153</f>
        <v>0</v>
      </c>
      <c r="F179" s="170">
        <f>F157+F153</f>
        <v>0</v>
      </c>
      <c r="G179" s="186">
        <f>G157+G153</f>
        <v>0</v>
      </c>
      <c r="H179" s="382" t="s">
        <v>119</v>
      </c>
      <c r="I179" s="383"/>
      <c r="J179" s="170">
        <f>J153+J157+J171</f>
        <v>1358337</v>
      </c>
      <c r="K179" s="170">
        <f>K153+K157+K171</f>
        <v>1358337</v>
      </c>
      <c r="L179" s="170">
        <f>L153+L157+L171</f>
        <v>1206174</v>
      </c>
      <c r="M179" s="170">
        <f>M153+M157+M171</f>
        <v>152163</v>
      </c>
      <c r="N179" s="305">
        <f>L179/C179</f>
        <v>0.44590536044362294</v>
      </c>
    </row>
    <row r="180" spans="1:14" ht="14.25">
      <c r="A180" s="208" t="s">
        <v>80</v>
      </c>
      <c r="B180" s="221" t="s">
        <v>77</v>
      </c>
      <c r="C180" s="170">
        <f aca="true" t="shared" si="47" ref="C180:I180">C166+C165</f>
        <v>55200</v>
      </c>
      <c r="D180" s="170">
        <f t="shared" si="47"/>
        <v>36000</v>
      </c>
      <c r="E180" s="170">
        <f t="shared" si="47"/>
        <v>0</v>
      </c>
      <c r="F180" s="170">
        <f t="shared" si="47"/>
        <v>0</v>
      </c>
      <c r="G180" s="170">
        <f t="shared" si="47"/>
        <v>0</v>
      </c>
      <c r="H180" s="170">
        <f t="shared" si="47"/>
        <v>0</v>
      </c>
      <c r="I180" s="170">
        <f t="shared" si="47"/>
        <v>0</v>
      </c>
      <c r="J180" s="170">
        <f>J166+J165</f>
        <v>31366</v>
      </c>
      <c r="K180" s="170">
        <f>K166+K165</f>
        <v>31366</v>
      </c>
      <c r="L180" s="170">
        <f>L166+L165</f>
        <v>12323</v>
      </c>
      <c r="M180" s="170">
        <f>J180-L180</f>
        <v>19043</v>
      </c>
      <c r="N180" s="305">
        <f>L180/C180</f>
        <v>0.2232427536231884</v>
      </c>
    </row>
    <row r="181" spans="1:14" ht="14.25">
      <c r="A181" s="211" t="s">
        <v>81</v>
      </c>
      <c r="B181" s="221" t="s">
        <v>227</v>
      </c>
      <c r="C181" s="213">
        <f>C170+C167+C156+C152</f>
        <v>5111000</v>
      </c>
      <c r="D181" s="213">
        <f aca="true" t="shared" si="48" ref="D181:M181">D170+D167+D156+D152</f>
        <v>2804000</v>
      </c>
      <c r="E181" s="213">
        <f t="shared" si="48"/>
        <v>320000</v>
      </c>
      <c r="F181" s="213">
        <f t="shared" si="48"/>
        <v>320000</v>
      </c>
      <c r="G181" s="213">
        <f t="shared" si="48"/>
        <v>320000</v>
      </c>
      <c r="H181" s="213">
        <f t="shared" si="48"/>
        <v>320000</v>
      </c>
      <c r="I181" s="213">
        <f t="shared" si="48"/>
        <v>320000</v>
      </c>
      <c r="J181" s="213">
        <f t="shared" si="48"/>
        <v>2247558</v>
      </c>
      <c r="K181" s="213">
        <f t="shared" si="48"/>
        <v>2247558</v>
      </c>
      <c r="L181" s="213">
        <f t="shared" si="48"/>
        <v>2138404</v>
      </c>
      <c r="M181" s="213">
        <f t="shared" si="48"/>
        <v>109154</v>
      </c>
      <c r="N181" s="305">
        <f>L181/C181</f>
        <v>0.41839248679319113</v>
      </c>
    </row>
    <row r="182" spans="1:14" ht="15" thickBot="1">
      <c r="A182" s="164" t="s">
        <v>7</v>
      </c>
      <c r="B182" s="222"/>
      <c r="C182" s="213"/>
      <c r="D182" s="213"/>
      <c r="E182" s="213"/>
      <c r="F182" s="213"/>
      <c r="G182" s="213"/>
      <c r="H182" s="213"/>
      <c r="I182" s="213"/>
      <c r="J182" s="216">
        <f>J175</f>
        <v>-26076</v>
      </c>
      <c r="K182" s="216">
        <f>K175</f>
        <v>-26076</v>
      </c>
      <c r="L182" s="216">
        <f>L175</f>
        <v>-26076</v>
      </c>
      <c r="M182" s="213"/>
      <c r="N182" s="314"/>
    </row>
    <row r="183" spans="1:14" ht="24.75" customHeight="1">
      <c r="A183" s="217" t="s">
        <v>83</v>
      </c>
      <c r="B183" s="181" t="s">
        <v>172</v>
      </c>
      <c r="C183" s="218">
        <f>C185+C190+C195+C197+C198</f>
        <v>12960237</v>
      </c>
      <c r="D183" s="218">
        <f aca="true" t="shared" si="49" ref="D183:M183">D185+D190+D195+D197+D198</f>
        <v>7650000</v>
      </c>
      <c r="E183" s="218">
        <f t="shared" si="49"/>
        <v>0</v>
      </c>
      <c r="F183" s="218">
        <f t="shared" si="49"/>
        <v>0</v>
      </c>
      <c r="G183" s="218">
        <f t="shared" si="49"/>
        <v>0</v>
      </c>
      <c r="H183" s="218">
        <f t="shared" si="49"/>
        <v>0</v>
      </c>
      <c r="I183" s="218">
        <f t="shared" si="49"/>
        <v>0</v>
      </c>
      <c r="J183" s="218">
        <f t="shared" si="49"/>
        <v>9093359</v>
      </c>
      <c r="K183" s="218">
        <f t="shared" si="49"/>
        <v>9093359</v>
      </c>
      <c r="L183" s="218">
        <f t="shared" si="49"/>
        <v>6296413</v>
      </c>
      <c r="M183" s="218">
        <f t="shared" si="49"/>
        <v>2796946</v>
      </c>
      <c r="N183" s="315">
        <f>L183/C183</f>
        <v>0.4858254521117168</v>
      </c>
    </row>
    <row r="184" spans="1:14" ht="15" hidden="1">
      <c r="A184" s="156" t="s">
        <v>160</v>
      </c>
      <c r="B184" s="161"/>
      <c r="C184" s="157">
        <f>D184+E184+F184+G184</f>
        <v>0</v>
      </c>
      <c r="D184" s="157"/>
      <c r="E184" s="157"/>
      <c r="F184" s="157"/>
      <c r="G184" s="158"/>
      <c r="H184" s="159"/>
      <c r="I184" s="159"/>
      <c r="J184" s="157"/>
      <c r="K184" s="157"/>
      <c r="L184" s="157"/>
      <c r="M184" s="157"/>
      <c r="N184" s="303"/>
    </row>
    <row r="185" spans="1:14" ht="15">
      <c r="A185" s="191" t="s">
        <v>161</v>
      </c>
      <c r="B185" s="192"/>
      <c r="C185" s="193">
        <f>C186+C187</f>
        <v>10510237</v>
      </c>
      <c r="D185" s="193">
        <f>D186+D187</f>
        <v>6200000</v>
      </c>
      <c r="E185" s="193">
        <f aca="true" t="shared" si="50" ref="E185:M185">E186+E187</f>
        <v>0</v>
      </c>
      <c r="F185" s="193">
        <f t="shared" si="50"/>
        <v>0</v>
      </c>
      <c r="G185" s="193">
        <f t="shared" si="50"/>
        <v>0</v>
      </c>
      <c r="H185" s="193">
        <f t="shared" si="50"/>
        <v>0</v>
      </c>
      <c r="I185" s="193">
        <f t="shared" si="50"/>
        <v>0</v>
      </c>
      <c r="J185" s="193">
        <f t="shared" si="50"/>
        <v>6643359</v>
      </c>
      <c r="K185" s="193">
        <f t="shared" si="50"/>
        <v>6643359</v>
      </c>
      <c r="L185" s="193">
        <f t="shared" si="50"/>
        <v>5053295</v>
      </c>
      <c r="M185" s="193">
        <f t="shared" si="50"/>
        <v>1590064</v>
      </c>
      <c r="N185" s="311">
        <f>L185/C185</f>
        <v>0.48079743587133195</v>
      </c>
    </row>
    <row r="186" spans="1:14" ht="15">
      <c r="A186" s="185" t="s">
        <v>84</v>
      </c>
      <c r="B186" s="183" t="s">
        <v>86</v>
      </c>
      <c r="C186" s="157">
        <v>3869784</v>
      </c>
      <c r="D186" s="157">
        <v>2100000</v>
      </c>
      <c r="E186" s="157"/>
      <c r="F186" s="157"/>
      <c r="G186" s="158"/>
      <c r="H186" s="159"/>
      <c r="I186" s="159"/>
      <c r="J186" s="157">
        <v>2207969</v>
      </c>
      <c r="K186" s="157">
        <v>2207969</v>
      </c>
      <c r="L186" s="160">
        <f>2079361</f>
        <v>2079361</v>
      </c>
      <c r="M186" s="157">
        <f>J186-L186</f>
        <v>128608</v>
      </c>
      <c r="N186" s="303">
        <f>L186/C186</f>
        <v>0.5373325746346566</v>
      </c>
    </row>
    <row r="187" spans="1:14" ht="15">
      <c r="A187" s="185" t="s">
        <v>85</v>
      </c>
      <c r="B187" s="183" t="s">
        <v>87</v>
      </c>
      <c r="C187" s="157">
        <v>6640453</v>
      </c>
      <c r="D187" s="157">
        <v>4100000</v>
      </c>
      <c r="E187" s="157"/>
      <c r="F187" s="157"/>
      <c r="G187" s="158"/>
      <c r="H187" s="159"/>
      <c r="I187" s="159"/>
      <c r="J187" s="157">
        <v>4435390</v>
      </c>
      <c r="K187" s="157">
        <v>4435390</v>
      </c>
      <c r="L187" s="299">
        <f>1378771+87968+129694+823862+45335+70480+1803+3860+317805+114356</f>
        <v>2973934</v>
      </c>
      <c r="M187" s="157">
        <f>J187-L187</f>
        <v>1461456</v>
      </c>
      <c r="N187" s="303">
        <f aca="true" t="shared" si="51" ref="N187:N197">L187/C187</f>
        <v>0.4478510728108459</v>
      </c>
    </row>
    <row r="188" spans="1:14" ht="15" hidden="1">
      <c r="A188" s="156" t="s">
        <v>0</v>
      </c>
      <c r="B188" s="183"/>
      <c r="C188" s="157"/>
      <c r="D188" s="157"/>
      <c r="E188" s="157"/>
      <c r="F188" s="157"/>
      <c r="G188" s="158"/>
      <c r="H188" s="159"/>
      <c r="I188" s="159"/>
      <c r="J188" s="157"/>
      <c r="K188" s="157"/>
      <c r="L188" s="157"/>
      <c r="M188" s="157"/>
      <c r="N188" s="303" t="e">
        <f t="shared" si="51"/>
        <v>#DIV/0!</v>
      </c>
    </row>
    <row r="189" spans="1:14" ht="15" hidden="1">
      <c r="A189" s="156" t="s">
        <v>1</v>
      </c>
      <c r="B189" s="183"/>
      <c r="C189" s="157"/>
      <c r="D189" s="157"/>
      <c r="E189" s="157"/>
      <c r="F189" s="157"/>
      <c r="G189" s="158"/>
      <c r="H189" s="159"/>
      <c r="I189" s="159"/>
      <c r="J189" s="157"/>
      <c r="K189" s="157"/>
      <c r="L189" s="157"/>
      <c r="M189" s="157"/>
      <c r="N189" s="303" t="e">
        <f t="shared" si="51"/>
        <v>#DIV/0!</v>
      </c>
    </row>
    <row r="190" spans="1:14" ht="15" hidden="1">
      <c r="A190" s="156" t="s">
        <v>159</v>
      </c>
      <c r="B190" s="183"/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>
        <f>M192+M191</f>
        <v>0</v>
      </c>
      <c r="N190" s="303" t="e">
        <f t="shared" si="51"/>
        <v>#DIV/0!</v>
      </c>
    </row>
    <row r="191" spans="1:14" ht="15" hidden="1">
      <c r="A191" s="156" t="s">
        <v>197</v>
      </c>
      <c r="B191" s="183" t="s">
        <v>87</v>
      </c>
      <c r="C191" s="160"/>
      <c r="D191" s="160"/>
      <c r="E191" s="160"/>
      <c r="F191" s="160"/>
      <c r="G191" s="200"/>
      <c r="H191" s="201"/>
      <c r="I191" s="201"/>
      <c r="J191" s="160"/>
      <c r="K191" s="160"/>
      <c r="L191" s="160"/>
      <c r="M191" s="160"/>
      <c r="N191" s="303" t="e">
        <f t="shared" si="51"/>
        <v>#DIV/0!</v>
      </c>
    </row>
    <row r="192" spans="1:14" ht="15.75" customHeight="1" hidden="1">
      <c r="A192" s="223" t="s">
        <v>88</v>
      </c>
      <c r="B192" s="183" t="s">
        <v>110</v>
      </c>
      <c r="C192" s="157"/>
      <c r="D192" s="157"/>
      <c r="E192" s="157"/>
      <c r="F192" s="157"/>
      <c r="G192" s="158"/>
      <c r="H192" s="159"/>
      <c r="I192" s="159"/>
      <c r="J192" s="157"/>
      <c r="K192" s="157"/>
      <c r="L192" s="157"/>
      <c r="M192" s="157">
        <f aca="true" t="shared" si="52" ref="M192:M197">J192-L192</f>
        <v>0</v>
      </c>
      <c r="N192" s="303" t="e">
        <f t="shared" si="51"/>
        <v>#DIV/0!</v>
      </c>
    </row>
    <row r="193" spans="1:14" ht="15" hidden="1">
      <c r="A193" s="156" t="s">
        <v>2</v>
      </c>
      <c r="B193" s="183"/>
      <c r="C193" s="157"/>
      <c r="D193" s="157"/>
      <c r="E193" s="157"/>
      <c r="F193" s="157"/>
      <c r="G193" s="158"/>
      <c r="H193" s="159"/>
      <c r="I193" s="159"/>
      <c r="J193" s="157"/>
      <c r="K193" s="157"/>
      <c r="L193" s="157"/>
      <c r="M193" s="157">
        <f t="shared" si="52"/>
        <v>0</v>
      </c>
      <c r="N193" s="303" t="e">
        <f t="shared" si="51"/>
        <v>#DIV/0!</v>
      </c>
    </row>
    <row r="194" spans="1:14" ht="15" hidden="1">
      <c r="A194" s="156" t="s">
        <v>3</v>
      </c>
      <c r="B194" s="183"/>
      <c r="C194" s="157"/>
      <c r="D194" s="157"/>
      <c r="E194" s="157"/>
      <c r="F194" s="157"/>
      <c r="G194" s="158"/>
      <c r="H194" s="159"/>
      <c r="I194" s="159"/>
      <c r="J194" s="157"/>
      <c r="K194" s="157"/>
      <c r="L194" s="157"/>
      <c r="M194" s="157">
        <f t="shared" si="52"/>
        <v>0</v>
      </c>
      <c r="N194" s="303" t="e">
        <f t="shared" si="51"/>
        <v>#DIV/0!</v>
      </c>
    </row>
    <row r="195" spans="1:14" ht="15" hidden="1">
      <c r="A195" s="156" t="s">
        <v>247</v>
      </c>
      <c r="B195" s="183" t="s">
        <v>87</v>
      </c>
      <c r="C195" s="157"/>
      <c r="D195" s="157"/>
      <c r="E195" s="157"/>
      <c r="F195" s="157"/>
      <c r="G195" s="158"/>
      <c r="H195" s="159"/>
      <c r="I195" s="159"/>
      <c r="J195" s="157"/>
      <c r="K195" s="157"/>
      <c r="L195" s="157"/>
      <c r="M195" s="157">
        <f t="shared" si="52"/>
        <v>0</v>
      </c>
      <c r="N195" s="303" t="e">
        <f t="shared" si="51"/>
        <v>#DIV/0!</v>
      </c>
    </row>
    <row r="196" spans="1:14" ht="15" hidden="1">
      <c r="A196" s="156" t="s">
        <v>5</v>
      </c>
      <c r="B196" s="183"/>
      <c r="C196" s="157"/>
      <c r="D196" s="157"/>
      <c r="E196" s="157"/>
      <c r="F196" s="157"/>
      <c r="G196" s="158"/>
      <c r="H196" s="159"/>
      <c r="I196" s="159"/>
      <c r="J196" s="157"/>
      <c r="K196" s="157"/>
      <c r="L196" s="157"/>
      <c r="M196" s="157">
        <f t="shared" si="52"/>
        <v>0</v>
      </c>
      <c r="N196" s="303" t="e">
        <f t="shared" si="51"/>
        <v>#DIV/0!</v>
      </c>
    </row>
    <row r="197" spans="1:14" ht="15">
      <c r="A197" s="185" t="s">
        <v>111</v>
      </c>
      <c r="B197" s="183" t="s">
        <v>93</v>
      </c>
      <c r="C197" s="157">
        <v>2450000</v>
      </c>
      <c r="D197" s="157">
        <v>1450000</v>
      </c>
      <c r="E197" s="157"/>
      <c r="F197" s="157"/>
      <c r="G197" s="158"/>
      <c r="H197" s="159"/>
      <c r="I197" s="159"/>
      <c r="J197" s="157">
        <v>2450000</v>
      </c>
      <c r="K197" s="157">
        <v>2450000</v>
      </c>
      <c r="L197" s="157">
        <v>1243118</v>
      </c>
      <c r="M197" s="157">
        <f t="shared" si="52"/>
        <v>1206882</v>
      </c>
      <c r="N197" s="303">
        <f t="shared" si="51"/>
        <v>0.5073951020408163</v>
      </c>
    </row>
    <row r="198" spans="1:14" ht="15">
      <c r="A198" s="164" t="s">
        <v>7</v>
      </c>
      <c r="B198" s="161"/>
      <c r="C198" s="157"/>
      <c r="D198" s="157"/>
      <c r="E198" s="157"/>
      <c r="F198" s="157"/>
      <c r="G198" s="158"/>
      <c r="H198" s="159"/>
      <c r="I198" s="159"/>
      <c r="J198" s="165">
        <f>K198</f>
        <v>0</v>
      </c>
      <c r="K198" s="165">
        <f>L198</f>
        <v>0</v>
      </c>
      <c r="L198" s="165">
        <v>0</v>
      </c>
      <c r="M198" s="157"/>
      <c r="N198" s="303"/>
    </row>
    <row r="199" spans="1:14" ht="15">
      <c r="A199" s="166" t="s">
        <v>8</v>
      </c>
      <c r="B199" s="161"/>
      <c r="C199" s="157"/>
      <c r="D199" s="157"/>
      <c r="E199" s="157"/>
      <c r="F199" s="157"/>
      <c r="G199" s="158"/>
      <c r="H199" s="159"/>
      <c r="I199" s="159"/>
      <c r="J199" s="157"/>
      <c r="K199" s="157"/>
      <c r="L199" s="157"/>
      <c r="M199" s="157"/>
      <c r="N199" s="303"/>
    </row>
    <row r="200" spans="1:14" ht="14.25">
      <c r="A200" s="210" t="s">
        <v>89</v>
      </c>
      <c r="B200" s="169" t="s">
        <v>110</v>
      </c>
      <c r="C200" s="170">
        <f>C192</f>
        <v>0</v>
      </c>
      <c r="D200" s="170">
        <f aca="true" t="shared" si="53" ref="D200:L200">D192</f>
        <v>0</v>
      </c>
      <c r="E200" s="170">
        <f t="shared" si="53"/>
        <v>0</v>
      </c>
      <c r="F200" s="170">
        <f t="shared" si="53"/>
        <v>0</v>
      </c>
      <c r="G200" s="170">
        <f t="shared" si="53"/>
        <v>0</v>
      </c>
      <c r="H200" s="170">
        <f t="shared" si="53"/>
        <v>0</v>
      </c>
      <c r="I200" s="170">
        <f t="shared" si="53"/>
        <v>0</v>
      </c>
      <c r="J200" s="170">
        <f t="shared" si="53"/>
        <v>0</v>
      </c>
      <c r="K200" s="170">
        <f t="shared" si="53"/>
        <v>0</v>
      </c>
      <c r="L200" s="170">
        <f t="shared" si="53"/>
        <v>0</v>
      </c>
      <c r="M200" s="170">
        <f>J200-L200</f>
        <v>0</v>
      </c>
      <c r="N200" s="305"/>
    </row>
    <row r="201" spans="1:14" ht="15">
      <c r="A201" s="208" t="s">
        <v>90</v>
      </c>
      <c r="B201" s="169" t="s">
        <v>93</v>
      </c>
      <c r="C201" s="170">
        <f>C197</f>
        <v>2450000</v>
      </c>
      <c r="D201" s="170">
        <f>D197</f>
        <v>1450000</v>
      </c>
      <c r="E201" s="170">
        <f>E197</f>
        <v>0</v>
      </c>
      <c r="F201" s="170">
        <f>F197</f>
        <v>0</v>
      </c>
      <c r="G201" s="186">
        <f>G197</f>
        <v>0</v>
      </c>
      <c r="H201" s="383" t="s">
        <v>118</v>
      </c>
      <c r="I201" s="387"/>
      <c r="J201" s="170">
        <f>J197</f>
        <v>2450000</v>
      </c>
      <c r="K201" s="170">
        <f>K197</f>
        <v>2450000</v>
      </c>
      <c r="L201" s="170">
        <f>L197</f>
        <v>1243118</v>
      </c>
      <c r="M201" s="170">
        <f>J201-L201</f>
        <v>1206882</v>
      </c>
      <c r="N201" s="305">
        <f>L201/C201</f>
        <v>0.5073951020408163</v>
      </c>
    </row>
    <row r="202" spans="1:14" ht="14.25">
      <c r="A202" s="208" t="s">
        <v>91</v>
      </c>
      <c r="B202" s="221" t="s">
        <v>86</v>
      </c>
      <c r="C202" s="170">
        <f>C186</f>
        <v>3869784</v>
      </c>
      <c r="D202" s="170">
        <f aca="true" t="shared" si="54" ref="D202:L202">D186</f>
        <v>2100000</v>
      </c>
      <c r="E202" s="170">
        <f t="shared" si="54"/>
        <v>0</v>
      </c>
      <c r="F202" s="170">
        <f t="shared" si="54"/>
        <v>0</v>
      </c>
      <c r="G202" s="170">
        <f t="shared" si="54"/>
        <v>0</v>
      </c>
      <c r="H202" s="170">
        <f t="shared" si="54"/>
        <v>0</v>
      </c>
      <c r="I202" s="170">
        <f t="shared" si="54"/>
        <v>0</v>
      </c>
      <c r="J202" s="170">
        <f t="shared" si="54"/>
        <v>2207969</v>
      </c>
      <c r="K202" s="170">
        <f t="shared" si="54"/>
        <v>2207969</v>
      </c>
      <c r="L202" s="170">
        <f t="shared" si="54"/>
        <v>2079361</v>
      </c>
      <c r="M202" s="170">
        <f>J202-L202</f>
        <v>128608</v>
      </c>
      <c r="N202" s="305">
        <f>L202/C202</f>
        <v>0.5373325746346566</v>
      </c>
    </row>
    <row r="203" spans="1:14" ht="14.25">
      <c r="A203" s="224" t="s">
        <v>92</v>
      </c>
      <c r="B203" s="221" t="s">
        <v>87</v>
      </c>
      <c r="C203" s="170">
        <f>C191+C187</f>
        <v>6640453</v>
      </c>
      <c r="D203" s="170">
        <f aca="true" t="shared" si="55" ref="D203:L203">D191+D187</f>
        <v>4100000</v>
      </c>
      <c r="E203" s="170">
        <f t="shared" si="55"/>
        <v>0</v>
      </c>
      <c r="F203" s="170">
        <f t="shared" si="55"/>
        <v>0</v>
      </c>
      <c r="G203" s="170">
        <f t="shared" si="55"/>
        <v>0</v>
      </c>
      <c r="H203" s="170">
        <f t="shared" si="55"/>
        <v>0</v>
      </c>
      <c r="I203" s="170">
        <f t="shared" si="55"/>
        <v>0</v>
      </c>
      <c r="J203" s="170">
        <f t="shared" si="55"/>
        <v>4435390</v>
      </c>
      <c r="K203" s="170">
        <f t="shared" si="55"/>
        <v>4435390</v>
      </c>
      <c r="L203" s="170">
        <f t="shared" si="55"/>
        <v>2973934</v>
      </c>
      <c r="M203" s="170">
        <f>J203-L203</f>
        <v>1461456</v>
      </c>
      <c r="N203" s="305">
        <f>L203/C203</f>
        <v>0.4478510728108459</v>
      </c>
    </row>
    <row r="204" spans="1:14" ht="15" thickBot="1">
      <c r="A204" s="164" t="s">
        <v>7</v>
      </c>
      <c r="B204" s="221"/>
      <c r="C204" s="170"/>
      <c r="D204" s="170">
        <f aca="true" t="shared" si="56" ref="D204:I204">D198</f>
        <v>0</v>
      </c>
      <c r="E204" s="170">
        <f t="shared" si="56"/>
        <v>0</v>
      </c>
      <c r="F204" s="170">
        <f t="shared" si="56"/>
        <v>0</v>
      </c>
      <c r="G204" s="170">
        <f t="shared" si="56"/>
        <v>0</v>
      </c>
      <c r="H204" s="170">
        <f t="shared" si="56"/>
        <v>0</v>
      </c>
      <c r="I204" s="170">
        <f t="shared" si="56"/>
        <v>0</v>
      </c>
      <c r="J204" s="171"/>
      <c r="K204" s="171"/>
      <c r="L204" s="171"/>
      <c r="M204" s="170"/>
      <c r="N204" s="305"/>
    </row>
    <row r="205" spans="1:14" ht="24.75" customHeight="1">
      <c r="A205" s="172" t="s">
        <v>94</v>
      </c>
      <c r="B205" s="154" t="s">
        <v>172</v>
      </c>
      <c r="C205" s="155">
        <f>C207+C216</f>
        <v>9887441</v>
      </c>
      <c r="D205" s="155">
        <f aca="true" t="shared" si="57" ref="D205:M205">D207+D216</f>
        <v>6000000</v>
      </c>
      <c r="E205" s="155">
        <f t="shared" si="57"/>
        <v>4000000</v>
      </c>
      <c r="F205" s="155">
        <f t="shared" si="57"/>
        <v>4000000</v>
      </c>
      <c r="G205" s="155">
        <f t="shared" si="57"/>
        <v>2968000</v>
      </c>
      <c r="H205" s="155" t="e">
        <f t="shared" si="57"/>
        <v>#VALUE!</v>
      </c>
      <c r="I205" s="155">
        <f t="shared" si="57"/>
        <v>0</v>
      </c>
      <c r="J205" s="155">
        <f t="shared" si="57"/>
        <v>9873702</v>
      </c>
      <c r="K205" s="155">
        <f t="shared" si="57"/>
        <v>9873702</v>
      </c>
      <c r="L205" s="155">
        <f t="shared" si="57"/>
        <v>4740476</v>
      </c>
      <c r="M205" s="155">
        <f t="shared" si="57"/>
        <v>5133226</v>
      </c>
      <c r="N205" s="302">
        <f>L205/C205</f>
        <v>0.47944417569723047</v>
      </c>
    </row>
    <row r="206" spans="1:14" ht="15" customHeight="1" hidden="1">
      <c r="A206" s="156" t="s">
        <v>160</v>
      </c>
      <c r="B206" s="176"/>
      <c r="C206" s="225">
        <f>D206+E206+F206+G206</f>
        <v>0</v>
      </c>
      <c r="D206" s="226"/>
      <c r="E206" s="226"/>
      <c r="F206" s="226"/>
      <c r="G206" s="227"/>
      <c r="H206" s="159"/>
      <c r="I206" s="159"/>
      <c r="J206" s="226"/>
      <c r="K206" s="226"/>
      <c r="L206" s="226"/>
      <c r="M206" s="226"/>
      <c r="N206" s="303"/>
    </row>
    <row r="207" spans="1:14" ht="15">
      <c r="A207" s="191" t="s">
        <v>161</v>
      </c>
      <c r="B207" s="198" t="s">
        <v>96</v>
      </c>
      <c r="C207" s="193">
        <v>9887441</v>
      </c>
      <c r="D207" s="193">
        <v>6000000</v>
      </c>
      <c r="E207" s="193">
        <v>4000000</v>
      </c>
      <c r="F207" s="193">
        <v>4000000</v>
      </c>
      <c r="G207" s="228">
        <v>2968000</v>
      </c>
      <c r="H207" s="386" t="s">
        <v>117</v>
      </c>
      <c r="I207" s="384"/>
      <c r="J207" s="193">
        <v>9887441</v>
      </c>
      <c r="K207" s="193">
        <v>9887441</v>
      </c>
      <c r="L207" s="193">
        <v>4754215</v>
      </c>
      <c r="M207" s="193">
        <f>J207-L207</f>
        <v>5133226</v>
      </c>
      <c r="N207" s="311">
        <f>L207/C207</f>
        <v>0.4808337162264736</v>
      </c>
    </row>
    <row r="208" spans="1:14" ht="15" customHeight="1" hidden="1">
      <c r="A208" s="156" t="s">
        <v>0</v>
      </c>
      <c r="B208" s="161"/>
      <c r="C208" s="160">
        <f aca="true" t="shared" si="58" ref="C208:C215">D208+E208+F208+G208</f>
        <v>0</v>
      </c>
      <c r="D208" s="157"/>
      <c r="E208" s="157"/>
      <c r="F208" s="157"/>
      <c r="G208" s="158"/>
      <c r="H208" s="162" t="s">
        <v>112</v>
      </c>
      <c r="I208" s="167">
        <f>C203+C197+C195</f>
        <v>9090453</v>
      </c>
      <c r="J208" s="157"/>
      <c r="K208" s="157"/>
      <c r="L208" s="157"/>
      <c r="M208" s="157"/>
      <c r="N208" s="303"/>
    </row>
    <row r="209" spans="1:14" ht="15" customHeight="1" hidden="1">
      <c r="A209" s="156" t="s">
        <v>1</v>
      </c>
      <c r="B209" s="161"/>
      <c r="C209" s="160">
        <f t="shared" si="58"/>
        <v>0</v>
      </c>
      <c r="D209" s="157"/>
      <c r="E209" s="157"/>
      <c r="F209" s="157"/>
      <c r="G209" s="158"/>
      <c r="H209" s="162" t="s">
        <v>113</v>
      </c>
      <c r="I209" s="167">
        <f>C209+C208+C207</f>
        <v>9887441</v>
      </c>
      <c r="J209" s="157"/>
      <c r="K209" s="157"/>
      <c r="L209" s="157"/>
      <c r="M209" s="157"/>
      <c r="N209" s="303"/>
    </row>
    <row r="210" spans="1:14" ht="15" customHeight="1" hidden="1">
      <c r="A210" s="156" t="s">
        <v>159</v>
      </c>
      <c r="B210" s="161"/>
      <c r="C210" s="160">
        <f t="shared" si="58"/>
        <v>0</v>
      </c>
      <c r="D210" s="157"/>
      <c r="E210" s="157"/>
      <c r="F210" s="157"/>
      <c r="G210" s="158"/>
      <c r="H210" s="159"/>
      <c r="I210" s="159"/>
      <c r="J210" s="157"/>
      <c r="K210" s="157"/>
      <c r="L210" s="157"/>
      <c r="M210" s="157"/>
      <c r="N210" s="303"/>
    </row>
    <row r="211" spans="1:14" ht="15" customHeight="1" hidden="1">
      <c r="A211" s="156" t="s">
        <v>2</v>
      </c>
      <c r="B211" s="161"/>
      <c r="C211" s="160">
        <f t="shared" si="58"/>
        <v>0</v>
      </c>
      <c r="D211" s="157"/>
      <c r="E211" s="157"/>
      <c r="F211" s="157"/>
      <c r="G211" s="158"/>
      <c r="H211" s="159"/>
      <c r="I211" s="159"/>
      <c r="J211" s="157"/>
      <c r="K211" s="157"/>
      <c r="L211" s="157"/>
      <c r="M211" s="157"/>
      <c r="N211" s="303"/>
    </row>
    <row r="212" spans="1:14" ht="15" customHeight="1" hidden="1">
      <c r="A212" s="156" t="s">
        <v>3</v>
      </c>
      <c r="B212" s="161"/>
      <c r="C212" s="160">
        <f t="shared" si="58"/>
        <v>0</v>
      </c>
      <c r="D212" s="157"/>
      <c r="E212" s="157"/>
      <c r="F212" s="157"/>
      <c r="G212" s="158"/>
      <c r="H212" s="159"/>
      <c r="I212" s="159"/>
      <c r="J212" s="157"/>
      <c r="K212" s="157"/>
      <c r="L212" s="157"/>
      <c r="M212" s="157"/>
      <c r="N212" s="303"/>
    </row>
    <row r="213" spans="1:14" ht="15" customHeight="1" hidden="1">
      <c r="A213" s="156" t="s">
        <v>4</v>
      </c>
      <c r="B213" s="161"/>
      <c r="C213" s="160">
        <f t="shared" si="58"/>
        <v>0</v>
      </c>
      <c r="D213" s="157"/>
      <c r="E213" s="157"/>
      <c r="F213" s="157"/>
      <c r="G213" s="158"/>
      <c r="H213" s="159"/>
      <c r="I213" s="159"/>
      <c r="J213" s="157"/>
      <c r="K213" s="157"/>
      <c r="L213" s="157"/>
      <c r="M213" s="157"/>
      <c r="N213" s="303"/>
    </row>
    <row r="214" spans="1:14" ht="15" hidden="1">
      <c r="A214" s="156" t="s">
        <v>5</v>
      </c>
      <c r="B214" s="161"/>
      <c r="C214" s="160">
        <f t="shared" si="58"/>
        <v>0</v>
      </c>
      <c r="D214" s="157"/>
      <c r="E214" s="157"/>
      <c r="F214" s="157"/>
      <c r="G214" s="158"/>
      <c r="H214" s="159"/>
      <c r="I214" s="159"/>
      <c r="J214" s="157"/>
      <c r="K214" s="157"/>
      <c r="L214" s="157"/>
      <c r="M214" s="157"/>
      <c r="N214" s="303"/>
    </row>
    <row r="215" spans="1:14" ht="15" hidden="1">
      <c r="A215" s="156" t="s">
        <v>6</v>
      </c>
      <c r="B215" s="161"/>
      <c r="C215" s="160">
        <f t="shared" si="58"/>
        <v>0</v>
      </c>
      <c r="D215" s="157"/>
      <c r="E215" s="157"/>
      <c r="F215" s="157"/>
      <c r="G215" s="158"/>
      <c r="H215" s="159"/>
      <c r="I215" s="159"/>
      <c r="J215" s="157"/>
      <c r="K215" s="157"/>
      <c r="L215" s="157"/>
      <c r="M215" s="157"/>
      <c r="N215" s="303"/>
    </row>
    <row r="216" spans="1:14" ht="15">
      <c r="A216" s="164" t="s">
        <v>7</v>
      </c>
      <c r="B216" s="161"/>
      <c r="C216" s="160"/>
      <c r="D216" s="157"/>
      <c r="E216" s="157"/>
      <c r="F216" s="157"/>
      <c r="G216" s="158"/>
      <c r="H216" s="159"/>
      <c r="I216" s="159"/>
      <c r="J216" s="187">
        <f>L216</f>
        <v>-13739</v>
      </c>
      <c r="K216" s="187">
        <f>L216</f>
        <v>-13739</v>
      </c>
      <c r="L216" s="187">
        <v>-13739</v>
      </c>
      <c r="M216" s="157"/>
      <c r="N216" s="303"/>
    </row>
    <row r="217" spans="1:14" ht="15">
      <c r="A217" s="229" t="s">
        <v>8</v>
      </c>
      <c r="B217" s="161"/>
      <c r="C217" s="157"/>
      <c r="D217" s="157"/>
      <c r="E217" s="157"/>
      <c r="F217" s="157"/>
      <c r="G217" s="158"/>
      <c r="H217" s="162" t="s">
        <v>112</v>
      </c>
      <c r="I217" s="167">
        <f>C207</f>
        <v>9887441</v>
      </c>
      <c r="J217" s="157"/>
      <c r="K217" s="157"/>
      <c r="L217" s="157"/>
      <c r="M217" s="157"/>
      <c r="N217" s="303"/>
    </row>
    <row r="218" spans="1:14" ht="14.25">
      <c r="A218" s="211" t="s">
        <v>95</v>
      </c>
      <c r="B218" s="169" t="s">
        <v>96</v>
      </c>
      <c r="C218" s="170">
        <f>C207</f>
        <v>9887441</v>
      </c>
      <c r="D218" s="170">
        <f>D207</f>
        <v>6000000</v>
      </c>
      <c r="E218" s="170">
        <f aca="true" t="shared" si="59" ref="E218:M218">E207</f>
        <v>4000000</v>
      </c>
      <c r="F218" s="170">
        <f t="shared" si="59"/>
        <v>4000000</v>
      </c>
      <c r="G218" s="170">
        <f t="shared" si="59"/>
        <v>2968000</v>
      </c>
      <c r="H218" s="170" t="str">
        <f t="shared" si="59"/>
        <v>TOTAL 74</v>
      </c>
      <c r="I218" s="170">
        <f t="shared" si="59"/>
        <v>0</v>
      </c>
      <c r="J218" s="170">
        <f t="shared" si="59"/>
        <v>9887441</v>
      </c>
      <c r="K218" s="170">
        <f t="shared" si="59"/>
        <v>9887441</v>
      </c>
      <c r="L218" s="170">
        <f>L207</f>
        <v>4754215</v>
      </c>
      <c r="M218" s="170">
        <f t="shared" si="59"/>
        <v>5133226</v>
      </c>
      <c r="N218" s="305">
        <f>L218/C218</f>
        <v>0.4808337162264736</v>
      </c>
    </row>
    <row r="219" spans="1:14" ht="14.25">
      <c r="A219" s="164" t="s">
        <v>7</v>
      </c>
      <c r="B219" s="169"/>
      <c r="C219" s="170"/>
      <c r="D219" s="170"/>
      <c r="E219" s="170"/>
      <c r="F219" s="170"/>
      <c r="G219" s="170"/>
      <c r="H219" s="170"/>
      <c r="I219" s="170"/>
      <c r="J219" s="300">
        <f>J216</f>
        <v>-13739</v>
      </c>
      <c r="K219" s="300">
        <f>K216</f>
        <v>-13739</v>
      </c>
      <c r="L219" s="300">
        <f>L216</f>
        <v>-13739</v>
      </c>
      <c r="M219" s="170"/>
      <c r="N219" s="305"/>
    </row>
    <row r="220" spans="1:14" ht="24.75" customHeight="1">
      <c r="A220" s="217" t="s">
        <v>97</v>
      </c>
      <c r="B220" s="154" t="s">
        <v>172</v>
      </c>
      <c r="C220" s="155">
        <f>C222+C231</f>
        <v>1253000</v>
      </c>
      <c r="D220" s="155">
        <f aca="true" t="shared" si="60" ref="D220:M220">D222+D231</f>
        <v>953000</v>
      </c>
      <c r="E220" s="155">
        <f t="shared" si="60"/>
        <v>200000</v>
      </c>
      <c r="F220" s="155">
        <f t="shared" si="60"/>
        <v>200000</v>
      </c>
      <c r="G220" s="155">
        <f t="shared" si="60"/>
        <v>0</v>
      </c>
      <c r="H220" s="155" t="e">
        <f t="shared" si="60"/>
        <v>#VALUE!</v>
      </c>
      <c r="I220" s="155">
        <f t="shared" si="60"/>
        <v>0</v>
      </c>
      <c r="J220" s="155">
        <f t="shared" si="60"/>
        <v>1201402</v>
      </c>
      <c r="K220" s="155">
        <f t="shared" si="60"/>
        <v>1201402</v>
      </c>
      <c r="L220" s="155">
        <f t="shared" si="60"/>
        <v>453751</v>
      </c>
      <c r="M220" s="155">
        <f t="shared" si="60"/>
        <v>747651</v>
      </c>
      <c r="N220" s="302">
        <f>L220/C220</f>
        <v>0.3621316839584996</v>
      </c>
    </row>
    <row r="221" spans="1:14" ht="15" hidden="1">
      <c r="A221" s="156" t="s">
        <v>160</v>
      </c>
      <c r="B221" s="176"/>
      <c r="C221" s="226">
        <f>D221+E221+F221+G221</f>
        <v>0</v>
      </c>
      <c r="D221" s="226"/>
      <c r="E221" s="226"/>
      <c r="F221" s="226"/>
      <c r="G221" s="227"/>
      <c r="H221" s="159"/>
      <c r="I221" s="159"/>
      <c r="J221" s="226"/>
      <c r="K221" s="226"/>
      <c r="L221" s="226"/>
      <c r="M221" s="226"/>
      <c r="N221" s="303"/>
    </row>
    <row r="222" spans="1:14" ht="15">
      <c r="A222" s="191" t="s">
        <v>161</v>
      </c>
      <c r="B222" s="198" t="s">
        <v>99</v>
      </c>
      <c r="C222" s="193">
        <v>1253000</v>
      </c>
      <c r="D222" s="193">
        <v>953000</v>
      </c>
      <c r="E222" s="193">
        <v>200000</v>
      </c>
      <c r="F222" s="193">
        <v>200000</v>
      </c>
      <c r="G222" s="228"/>
      <c r="H222" s="384" t="s">
        <v>116</v>
      </c>
      <c r="I222" s="385"/>
      <c r="J222" s="193">
        <v>1201402</v>
      </c>
      <c r="K222" s="193">
        <v>1201402</v>
      </c>
      <c r="L222" s="193">
        <v>453751</v>
      </c>
      <c r="M222" s="193">
        <f>J222-L222</f>
        <v>747651</v>
      </c>
      <c r="N222" s="311">
        <f>L222/C222</f>
        <v>0.3621316839584996</v>
      </c>
    </row>
    <row r="223" spans="1:14" ht="15" hidden="1">
      <c r="A223" s="156" t="s">
        <v>0</v>
      </c>
      <c r="B223" s="161"/>
      <c r="C223" s="157">
        <f aca="true" t="shared" si="61" ref="C223:C230">D223+E223+F223+G223</f>
        <v>0</v>
      </c>
      <c r="D223" s="157"/>
      <c r="E223" s="157"/>
      <c r="F223" s="157"/>
      <c r="G223" s="158"/>
      <c r="H223" s="162" t="s">
        <v>112</v>
      </c>
      <c r="I223" s="167">
        <f>C218+C212+C210</f>
        <v>9887441</v>
      </c>
      <c r="J223" s="157"/>
      <c r="K223" s="157"/>
      <c r="L223" s="157"/>
      <c r="M223" s="157"/>
      <c r="N223" s="303"/>
    </row>
    <row r="224" spans="1:14" ht="15" hidden="1">
      <c r="A224" s="156" t="s">
        <v>1</v>
      </c>
      <c r="B224" s="161"/>
      <c r="C224" s="157">
        <f t="shared" si="61"/>
        <v>0</v>
      </c>
      <c r="D224" s="157"/>
      <c r="E224" s="157"/>
      <c r="F224" s="157"/>
      <c r="G224" s="158"/>
      <c r="H224" s="162" t="s">
        <v>113</v>
      </c>
      <c r="I224" s="167">
        <f>C224+C223+C222</f>
        <v>1253000</v>
      </c>
      <c r="J224" s="157"/>
      <c r="K224" s="157"/>
      <c r="L224" s="157"/>
      <c r="M224" s="157"/>
      <c r="N224" s="303"/>
    </row>
    <row r="225" spans="1:14" ht="15" hidden="1">
      <c r="A225" s="156" t="s">
        <v>159</v>
      </c>
      <c r="B225" s="161"/>
      <c r="C225" s="157">
        <f t="shared" si="61"/>
        <v>0</v>
      </c>
      <c r="D225" s="157"/>
      <c r="E225" s="157"/>
      <c r="F225" s="157"/>
      <c r="G225" s="158"/>
      <c r="H225" s="159"/>
      <c r="I225" s="159"/>
      <c r="J225" s="157"/>
      <c r="K225" s="157"/>
      <c r="L225" s="157"/>
      <c r="M225" s="157"/>
      <c r="N225" s="303"/>
    </row>
    <row r="226" spans="1:14" ht="15" hidden="1">
      <c r="A226" s="156" t="s">
        <v>2</v>
      </c>
      <c r="B226" s="161"/>
      <c r="C226" s="157">
        <f t="shared" si="61"/>
        <v>0</v>
      </c>
      <c r="D226" s="157"/>
      <c r="E226" s="157"/>
      <c r="F226" s="157"/>
      <c r="G226" s="158"/>
      <c r="H226" s="159"/>
      <c r="I226" s="159"/>
      <c r="J226" s="157"/>
      <c r="K226" s="157"/>
      <c r="L226" s="157"/>
      <c r="M226" s="157"/>
      <c r="N226" s="303"/>
    </row>
    <row r="227" spans="1:14" ht="15" hidden="1">
      <c r="A227" s="156" t="s">
        <v>3</v>
      </c>
      <c r="B227" s="161"/>
      <c r="C227" s="157">
        <f t="shared" si="61"/>
        <v>0</v>
      </c>
      <c r="D227" s="157"/>
      <c r="E227" s="157"/>
      <c r="F227" s="157"/>
      <c r="G227" s="158"/>
      <c r="H227" s="159"/>
      <c r="I227" s="159"/>
      <c r="J227" s="157"/>
      <c r="K227" s="157"/>
      <c r="L227" s="157"/>
      <c r="M227" s="157"/>
      <c r="N227" s="303"/>
    </row>
    <row r="228" spans="1:14" ht="15" hidden="1">
      <c r="A228" s="156" t="s">
        <v>4</v>
      </c>
      <c r="B228" s="161"/>
      <c r="C228" s="157">
        <f t="shared" si="61"/>
        <v>0</v>
      </c>
      <c r="D228" s="157"/>
      <c r="E228" s="157"/>
      <c r="F228" s="157"/>
      <c r="G228" s="158"/>
      <c r="H228" s="159"/>
      <c r="I228" s="159"/>
      <c r="J228" s="157"/>
      <c r="K228" s="157"/>
      <c r="L228" s="157"/>
      <c r="M228" s="157"/>
      <c r="N228" s="303"/>
    </row>
    <row r="229" spans="1:14" ht="15" hidden="1">
      <c r="A229" s="156" t="s">
        <v>5</v>
      </c>
      <c r="B229" s="161"/>
      <c r="C229" s="157">
        <f t="shared" si="61"/>
        <v>0</v>
      </c>
      <c r="D229" s="157"/>
      <c r="E229" s="157"/>
      <c r="F229" s="157"/>
      <c r="G229" s="158"/>
      <c r="H229" s="159"/>
      <c r="I229" s="159"/>
      <c r="J229" s="157"/>
      <c r="K229" s="157"/>
      <c r="L229" s="157"/>
      <c r="M229" s="157"/>
      <c r="N229" s="303"/>
    </row>
    <row r="230" spans="1:14" ht="15" hidden="1">
      <c r="A230" s="156" t="s">
        <v>6</v>
      </c>
      <c r="B230" s="161"/>
      <c r="C230" s="157">
        <f t="shared" si="61"/>
        <v>0</v>
      </c>
      <c r="D230" s="157"/>
      <c r="E230" s="157"/>
      <c r="F230" s="157"/>
      <c r="G230" s="158"/>
      <c r="H230" s="159"/>
      <c r="I230" s="159"/>
      <c r="J230" s="157"/>
      <c r="K230" s="157"/>
      <c r="L230" s="157"/>
      <c r="M230" s="157"/>
      <c r="N230" s="303"/>
    </row>
    <row r="231" spans="1:14" ht="15">
      <c r="A231" s="164" t="s">
        <v>7</v>
      </c>
      <c r="B231" s="161"/>
      <c r="C231" s="157"/>
      <c r="D231" s="157"/>
      <c r="E231" s="157"/>
      <c r="F231" s="157"/>
      <c r="G231" s="158"/>
      <c r="H231" s="159"/>
      <c r="I231" s="159"/>
      <c r="J231" s="157"/>
      <c r="K231" s="157"/>
      <c r="L231" s="157"/>
      <c r="M231" s="157"/>
      <c r="N231" s="303"/>
    </row>
    <row r="232" spans="1:14" ht="15">
      <c r="A232" s="156" t="s">
        <v>8</v>
      </c>
      <c r="B232" s="161"/>
      <c r="C232" s="157"/>
      <c r="D232" s="157"/>
      <c r="E232" s="157"/>
      <c r="F232" s="157"/>
      <c r="G232" s="158"/>
      <c r="H232" s="162" t="s">
        <v>112</v>
      </c>
      <c r="I232" s="167">
        <f>C222</f>
        <v>1253000</v>
      </c>
      <c r="J232" s="157"/>
      <c r="K232" s="157"/>
      <c r="L232" s="157"/>
      <c r="M232" s="157"/>
      <c r="N232" s="303"/>
    </row>
    <row r="233" spans="1:14" ht="14.25">
      <c r="A233" s="211" t="s">
        <v>98</v>
      </c>
      <c r="B233" s="169" t="s">
        <v>99</v>
      </c>
      <c r="C233" s="170">
        <f>C222</f>
        <v>1253000</v>
      </c>
      <c r="D233" s="170">
        <f>D222</f>
        <v>953000</v>
      </c>
      <c r="E233" s="170">
        <f aca="true" t="shared" si="62" ref="E233:K233">E222</f>
        <v>200000</v>
      </c>
      <c r="F233" s="170">
        <f t="shared" si="62"/>
        <v>200000</v>
      </c>
      <c r="G233" s="170">
        <f t="shared" si="62"/>
        <v>0</v>
      </c>
      <c r="H233" s="170" t="str">
        <f t="shared" si="62"/>
        <v>TOTAL 83</v>
      </c>
      <c r="I233" s="170">
        <f t="shared" si="62"/>
        <v>0</v>
      </c>
      <c r="J233" s="170">
        <f t="shared" si="62"/>
        <v>1201402</v>
      </c>
      <c r="K233" s="170">
        <f t="shared" si="62"/>
        <v>1201402</v>
      </c>
      <c r="L233" s="170">
        <f>L222</f>
        <v>453751</v>
      </c>
      <c r="M233" s="170">
        <f>M231+M230+M229+M228+M227+M226+M225+M224+M223+M222+M221</f>
        <v>747651</v>
      </c>
      <c r="N233" s="305">
        <f>L233/C233</f>
        <v>0.3621316839584996</v>
      </c>
    </row>
    <row r="234" spans="1:14" ht="15" thickBot="1">
      <c r="A234" s="164" t="s">
        <v>7</v>
      </c>
      <c r="B234" s="169"/>
      <c r="C234" s="170"/>
      <c r="D234" s="170"/>
      <c r="E234" s="170"/>
      <c r="F234" s="170"/>
      <c r="G234" s="170"/>
      <c r="H234" s="170"/>
      <c r="I234" s="170"/>
      <c r="J234" s="170">
        <f>J231</f>
        <v>0</v>
      </c>
      <c r="K234" s="170">
        <f>K231</f>
        <v>0</v>
      </c>
      <c r="L234" s="170">
        <f>L231</f>
        <v>0</v>
      </c>
      <c r="M234" s="170"/>
      <c r="N234" s="305"/>
    </row>
    <row r="235" spans="1:14" ht="24.75" customHeight="1">
      <c r="A235" s="172" t="s">
        <v>100</v>
      </c>
      <c r="B235" s="154" t="s">
        <v>172</v>
      </c>
      <c r="C235" s="155">
        <f>C237+C239+C245+C246</f>
        <v>38100000</v>
      </c>
      <c r="D235" s="155">
        <f aca="true" t="shared" si="63" ref="D235:M235">D237+D239+D245+D246</f>
        <v>20775000</v>
      </c>
      <c r="E235" s="155">
        <f t="shared" si="63"/>
        <v>0</v>
      </c>
      <c r="F235" s="155">
        <f t="shared" si="63"/>
        <v>0</v>
      </c>
      <c r="G235" s="155">
        <f t="shared" si="63"/>
        <v>0</v>
      </c>
      <c r="H235" s="155">
        <f t="shared" si="63"/>
        <v>0</v>
      </c>
      <c r="I235" s="155">
        <f t="shared" si="63"/>
        <v>0</v>
      </c>
      <c r="J235" s="155">
        <f t="shared" si="63"/>
        <v>37849148</v>
      </c>
      <c r="K235" s="155">
        <f t="shared" si="63"/>
        <v>37849148</v>
      </c>
      <c r="L235" s="155">
        <f t="shared" si="63"/>
        <v>12780422</v>
      </c>
      <c r="M235" s="155">
        <f t="shared" si="63"/>
        <v>25068726</v>
      </c>
      <c r="N235" s="302">
        <f>L235/C235</f>
        <v>0.3354441469816273</v>
      </c>
    </row>
    <row r="236" spans="1:14" ht="15" hidden="1">
      <c r="A236" s="156" t="s">
        <v>160</v>
      </c>
      <c r="B236" s="176"/>
      <c r="C236" s="226">
        <f>D236+E236+F236+G236</f>
        <v>0</v>
      </c>
      <c r="D236" s="226"/>
      <c r="E236" s="226"/>
      <c r="F236" s="226"/>
      <c r="G236" s="227"/>
      <c r="H236" s="159"/>
      <c r="I236" s="159"/>
      <c r="J236" s="226"/>
      <c r="K236" s="226"/>
      <c r="L236" s="226"/>
      <c r="M236" s="226"/>
      <c r="N236" s="303"/>
    </row>
    <row r="237" spans="1:14" ht="15">
      <c r="A237" s="191" t="s">
        <v>161</v>
      </c>
      <c r="B237" s="198" t="s">
        <v>105</v>
      </c>
      <c r="C237" s="193">
        <v>22200000</v>
      </c>
      <c r="D237" s="193">
        <f>3972000+7028000</f>
        <v>11000000</v>
      </c>
      <c r="E237" s="193"/>
      <c r="F237" s="193"/>
      <c r="G237" s="228"/>
      <c r="H237" s="230"/>
      <c r="I237" s="230"/>
      <c r="J237" s="193">
        <v>21952641</v>
      </c>
      <c r="K237" s="193">
        <v>21952641</v>
      </c>
      <c r="L237" s="193">
        <v>4811347</v>
      </c>
      <c r="M237" s="193">
        <f>J237-L237</f>
        <v>17141294</v>
      </c>
      <c r="N237" s="311">
        <f>L237/C237</f>
        <v>0.21672734234234234</v>
      </c>
    </row>
    <row r="238" spans="1:14" ht="15" hidden="1">
      <c r="A238" s="191" t="s">
        <v>0</v>
      </c>
      <c r="B238" s="198"/>
      <c r="C238" s="193"/>
      <c r="D238" s="193"/>
      <c r="E238" s="193"/>
      <c r="F238" s="193"/>
      <c r="G238" s="228"/>
      <c r="H238" s="230"/>
      <c r="I238" s="230"/>
      <c r="J238" s="193"/>
      <c r="K238" s="193"/>
      <c r="L238" s="193"/>
      <c r="M238" s="193">
        <f aca="true" t="shared" si="64" ref="M238:M245">J238-L238</f>
        <v>0</v>
      </c>
      <c r="N238" s="311" t="e">
        <f aca="true" t="shared" si="65" ref="N238:N245">L238/C238</f>
        <v>#DIV/0!</v>
      </c>
    </row>
    <row r="239" spans="1:14" ht="15">
      <c r="A239" s="191" t="s">
        <v>1</v>
      </c>
      <c r="B239" s="198" t="s">
        <v>104</v>
      </c>
      <c r="C239" s="193">
        <v>7500000</v>
      </c>
      <c r="D239" s="193">
        <f>2500000+1675000</f>
        <v>4175000</v>
      </c>
      <c r="E239" s="193"/>
      <c r="F239" s="193"/>
      <c r="G239" s="228"/>
      <c r="H239" s="230"/>
      <c r="I239" s="230"/>
      <c r="J239" s="193">
        <v>7500000</v>
      </c>
      <c r="K239" s="193">
        <v>7500000</v>
      </c>
      <c r="L239" s="193">
        <v>3372568</v>
      </c>
      <c r="M239" s="193">
        <f t="shared" si="64"/>
        <v>4127432</v>
      </c>
      <c r="N239" s="311">
        <f t="shared" si="65"/>
        <v>0.4496757333333333</v>
      </c>
    </row>
    <row r="240" spans="1:14" ht="15" hidden="1">
      <c r="A240" s="191" t="s">
        <v>159</v>
      </c>
      <c r="B240" s="198"/>
      <c r="C240" s="193"/>
      <c r="D240" s="193"/>
      <c r="E240" s="193"/>
      <c r="F240" s="193"/>
      <c r="G240" s="228"/>
      <c r="H240" s="230"/>
      <c r="I240" s="230"/>
      <c r="J240" s="193"/>
      <c r="K240" s="193"/>
      <c r="L240" s="193"/>
      <c r="M240" s="193">
        <f t="shared" si="64"/>
        <v>0</v>
      </c>
      <c r="N240" s="311" t="e">
        <f t="shared" si="65"/>
        <v>#DIV/0!</v>
      </c>
    </row>
    <row r="241" spans="1:14" ht="15" hidden="1">
      <c r="A241" s="191" t="s">
        <v>2</v>
      </c>
      <c r="B241" s="198"/>
      <c r="C241" s="193"/>
      <c r="D241" s="193"/>
      <c r="E241" s="193"/>
      <c r="F241" s="193"/>
      <c r="G241" s="228"/>
      <c r="H241" s="230"/>
      <c r="I241" s="230"/>
      <c r="J241" s="193"/>
      <c r="K241" s="193"/>
      <c r="L241" s="193"/>
      <c r="M241" s="193">
        <f t="shared" si="64"/>
        <v>0</v>
      </c>
      <c r="N241" s="311" t="e">
        <f t="shared" si="65"/>
        <v>#DIV/0!</v>
      </c>
    </row>
    <row r="242" spans="1:14" ht="15" hidden="1">
      <c r="A242" s="191" t="s">
        <v>3</v>
      </c>
      <c r="B242" s="198"/>
      <c r="C242" s="193"/>
      <c r="D242" s="193"/>
      <c r="E242" s="193"/>
      <c r="F242" s="193"/>
      <c r="G242" s="228"/>
      <c r="H242" s="230"/>
      <c r="I242" s="230"/>
      <c r="J242" s="193"/>
      <c r="K242" s="193"/>
      <c r="L242" s="193"/>
      <c r="M242" s="193">
        <f t="shared" si="64"/>
        <v>0</v>
      </c>
      <c r="N242" s="311" t="e">
        <f t="shared" si="65"/>
        <v>#DIV/0!</v>
      </c>
    </row>
    <row r="243" spans="1:14" ht="15" hidden="1">
      <c r="A243" s="191" t="s">
        <v>4</v>
      </c>
      <c r="B243" s="198"/>
      <c r="C243" s="193"/>
      <c r="D243" s="193"/>
      <c r="E243" s="193"/>
      <c r="F243" s="193"/>
      <c r="G243" s="228"/>
      <c r="H243" s="230"/>
      <c r="I243" s="230"/>
      <c r="J243" s="193"/>
      <c r="K243" s="193"/>
      <c r="L243" s="193"/>
      <c r="M243" s="193">
        <f t="shared" si="64"/>
        <v>0</v>
      </c>
      <c r="N243" s="311" t="e">
        <f t="shared" si="65"/>
        <v>#DIV/0!</v>
      </c>
    </row>
    <row r="244" spans="1:14" ht="15" hidden="1">
      <c r="A244" s="191" t="s">
        <v>5</v>
      </c>
      <c r="B244" s="198"/>
      <c r="C244" s="193"/>
      <c r="D244" s="193"/>
      <c r="E244" s="193"/>
      <c r="F244" s="193"/>
      <c r="G244" s="228"/>
      <c r="H244" s="230"/>
      <c r="I244" s="230"/>
      <c r="J244" s="193"/>
      <c r="K244" s="193"/>
      <c r="L244" s="193"/>
      <c r="M244" s="193">
        <f t="shared" si="64"/>
        <v>0</v>
      </c>
      <c r="N244" s="311" t="e">
        <f t="shared" si="65"/>
        <v>#DIV/0!</v>
      </c>
    </row>
    <row r="245" spans="1:14" ht="15">
      <c r="A245" s="191" t="s">
        <v>6</v>
      </c>
      <c r="B245" s="198" t="s">
        <v>105</v>
      </c>
      <c r="C245" s="193">
        <v>8400000</v>
      </c>
      <c r="D245" s="193">
        <v>5600000</v>
      </c>
      <c r="E245" s="193"/>
      <c r="F245" s="193"/>
      <c r="G245" s="228"/>
      <c r="H245" s="230"/>
      <c r="I245" s="230"/>
      <c r="J245" s="193">
        <v>8400000</v>
      </c>
      <c r="K245" s="193">
        <v>8400000</v>
      </c>
      <c r="L245" s="193">
        <v>4600000</v>
      </c>
      <c r="M245" s="193">
        <f t="shared" si="64"/>
        <v>3800000</v>
      </c>
      <c r="N245" s="311">
        <f t="shared" si="65"/>
        <v>0.5476190476190477</v>
      </c>
    </row>
    <row r="246" spans="1:17" ht="15">
      <c r="A246" s="164" t="s">
        <v>7</v>
      </c>
      <c r="B246" s="161"/>
      <c r="C246" s="157"/>
      <c r="D246" s="157"/>
      <c r="E246" s="157"/>
      <c r="F246" s="157"/>
      <c r="G246" s="158"/>
      <c r="H246" s="159"/>
      <c r="I246" s="159"/>
      <c r="J246" s="165">
        <f>L246</f>
        <v>-3493</v>
      </c>
      <c r="K246" s="165">
        <f>L246</f>
        <v>-3493</v>
      </c>
      <c r="L246" s="165">
        <v>-3493</v>
      </c>
      <c r="M246" s="157"/>
      <c r="N246" s="303"/>
      <c r="Q246" s="243"/>
    </row>
    <row r="247" spans="1:14" ht="15">
      <c r="A247" s="166" t="s">
        <v>8</v>
      </c>
      <c r="B247" s="161"/>
      <c r="C247" s="157"/>
      <c r="D247" s="157"/>
      <c r="E247" s="157"/>
      <c r="F247" s="157"/>
      <c r="G247" s="158"/>
      <c r="H247" s="159"/>
      <c r="I247" s="159"/>
      <c r="J247" s="157"/>
      <c r="K247" s="157"/>
      <c r="L247" s="157"/>
      <c r="M247" s="157"/>
      <c r="N247" s="303"/>
    </row>
    <row r="248" spans="1:14" ht="15">
      <c r="A248" s="208" t="s">
        <v>101</v>
      </c>
      <c r="B248" s="169" t="s">
        <v>104</v>
      </c>
      <c r="C248" s="170">
        <f>C239</f>
        <v>7500000</v>
      </c>
      <c r="D248" s="170">
        <f>D239</f>
        <v>4175000</v>
      </c>
      <c r="E248" s="170">
        <f>E239</f>
        <v>0</v>
      </c>
      <c r="F248" s="170">
        <f>F239</f>
        <v>0</v>
      </c>
      <c r="G248" s="186">
        <f>G239</f>
        <v>0</v>
      </c>
      <c r="H248" s="383" t="s">
        <v>115</v>
      </c>
      <c r="I248" s="387"/>
      <c r="J248" s="170">
        <f>J239</f>
        <v>7500000</v>
      </c>
      <c r="K248" s="170">
        <f>K239</f>
        <v>7500000</v>
      </c>
      <c r="L248" s="170">
        <f>L239</f>
        <v>3372568</v>
      </c>
      <c r="M248" s="170">
        <f>M239</f>
        <v>4127432</v>
      </c>
      <c r="N248" s="305">
        <f>L248/C248</f>
        <v>0.4496757333333333</v>
      </c>
    </row>
    <row r="249" spans="1:14" ht="14.25">
      <c r="A249" s="208" t="s">
        <v>102</v>
      </c>
      <c r="B249" s="169" t="s">
        <v>105</v>
      </c>
      <c r="C249" s="170">
        <f>C237+C245</f>
        <v>30600000</v>
      </c>
      <c r="D249" s="170">
        <f>D237+D245</f>
        <v>16600000</v>
      </c>
      <c r="E249" s="170">
        <f aca="true" t="shared" si="66" ref="E249:M249">E237+E245</f>
        <v>0</v>
      </c>
      <c r="F249" s="170">
        <f t="shared" si="66"/>
        <v>0</v>
      </c>
      <c r="G249" s="170">
        <f t="shared" si="66"/>
        <v>0</v>
      </c>
      <c r="H249" s="170">
        <f t="shared" si="66"/>
        <v>0</v>
      </c>
      <c r="I249" s="170">
        <f t="shared" si="66"/>
        <v>0</v>
      </c>
      <c r="J249" s="170">
        <f t="shared" si="66"/>
        <v>30352641</v>
      </c>
      <c r="K249" s="170">
        <f t="shared" si="66"/>
        <v>30352641</v>
      </c>
      <c r="L249" s="170">
        <f t="shared" si="66"/>
        <v>9411347</v>
      </c>
      <c r="M249" s="170">
        <f t="shared" si="66"/>
        <v>20941294</v>
      </c>
      <c r="N249" s="305">
        <f>L249/C249</f>
        <v>0.3075603594771242</v>
      </c>
    </row>
    <row r="250" spans="1:14" ht="15.75" thickBot="1">
      <c r="A250" s="211" t="s">
        <v>103</v>
      </c>
      <c r="B250" s="231" t="s">
        <v>106</v>
      </c>
      <c r="C250" s="213">
        <f>D250+E250+F250+G250</f>
        <v>0</v>
      </c>
      <c r="D250" s="213"/>
      <c r="E250" s="213"/>
      <c r="F250" s="213"/>
      <c r="G250" s="232"/>
      <c r="H250" s="233" t="s">
        <v>113</v>
      </c>
      <c r="I250" s="234">
        <f>C250+C249+C248</f>
        <v>38100000</v>
      </c>
      <c r="J250" s="213"/>
      <c r="K250" s="213"/>
      <c r="L250" s="213"/>
      <c r="M250" s="213"/>
      <c r="N250" s="314"/>
    </row>
    <row r="251" spans="1:16" ht="15.75" thickBot="1">
      <c r="A251" s="235" t="s">
        <v>7</v>
      </c>
      <c r="B251" s="236"/>
      <c r="C251" s="237"/>
      <c r="D251" s="237"/>
      <c r="E251" s="237"/>
      <c r="F251" s="237"/>
      <c r="G251" s="238"/>
      <c r="H251" s="239"/>
      <c r="I251" s="240"/>
      <c r="J251" s="241">
        <f>J246</f>
        <v>-3493</v>
      </c>
      <c r="K251" s="241">
        <f>K246</f>
        <v>-3493</v>
      </c>
      <c r="L251" s="241">
        <f>L246</f>
        <v>-3493</v>
      </c>
      <c r="M251" s="242"/>
      <c r="N251" s="316"/>
      <c r="P251" s="243"/>
    </row>
    <row r="252" spans="1:13" ht="24.75" customHeight="1" hidden="1">
      <c r="A252" s="153" t="s">
        <v>107</v>
      </c>
      <c r="B252" s="154" t="s">
        <v>172</v>
      </c>
      <c r="C252" s="244">
        <f>C260+C263</f>
        <v>0</v>
      </c>
      <c r="D252" s="244">
        <f aca="true" t="shared" si="67" ref="D252:M252">D260+D263</f>
        <v>0</v>
      </c>
      <c r="E252" s="244">
        <f t="shared" si="67"/>
        <v>6300</v>
      </c>
      <c r="F252" s="244">
        <f t="shared" si="67"/>
        <v>6300</v>
      </c>
      <c r="G252" s="244">
        <f t="shared" si="67"/>
        <v>20600</v>
      </c>
      <c r="H252" s="244" t="e">
        <f t="shared" si="67"/>
        <v>#VALUE!</v>
      </c>
      <c r="I252" s="244">
        <f t="shared" si="67"/>
        <v>0</v>
      </c>
      <c r="J252" s="244">
        <f t="shared" si="67"/>
        <v>0</v>
      </c>
      <c r="K252" s="244">
        <f t="shared" si="67"/>
        <v>0</v>
      </c>
      <c r="L252" s="244">
        <f t="shared" si="67"/>
        <v>0</v>
      </c>
      <c r="M252" s="244">
        <f t="shared" si="67"/>
        <v>0</v>
      </c>
    </row>
    <row r="253" spans="1:13" ht="15" customHeight="1" hidden="1">
      <c r="A253" s="156" t="s">
        <v>160</v>
      </c>
      <c r="B253" s="176"/>
      <c r="C253" s="226">
        <f>D253+E253+F253+G253</f>
        <v>0</v>
      </c>
      <c r="D253" s="245"/>
      <c r="E253" s="245"/>
      <c r="F253" s="245"/>
      <c r="G253" s="246"/>
      <c r="H253" s="247" t="s">
        <v>112</v>
      </c>
      <c r="I253" s="248">
        <f>C248</f>
        <v>7500000</v>
      </c>
      <c r="J253" s="245"/>
      <c r="K253" s="245"/>
      <c r="L253" s="245"/>
      <c r="M253" s="245"/>
    </row>
    <row r="254" spans="1:13" ht="15" customHeight="1" hidden="1">
      <c r="A254" s="156" t="s">
        <v>161</v>
      </c>
      <c r="B254" s="176"/>
      <c r="C254" s="226">
        <f aca="true" t="shared" si="68" ref="C254:C262">D254+E254+F254+G254</f>
        <v>0</v>
      </c>
      <c r="D254" s="245"/>
      <c r="E254" s="245"/>
      <c r="F254" s="245"/>
      <c r="G254" s="246"/>
      <c r="H254" s="247" t="s">
        <v>113</v>
      </c>
      <c r="I254" s="248">
        <f>C254</f>
        <v>0</v>
      </c>
      <c r="J254" s="245"/>
      <c r="K254" s="245"/>
      <c r="L254" s="245"/>
      <c r="M254" s="245"/>
    </row>
    <row r="255" spans="1:13" ht="15" hidden="1">
      <c r="A255" s="156" t="s">
        <v>0</v>
      </c>
      <c r="B255" s="176"/>
      <c r="C255" s="226">
        <f t="shared" si="68"/>
        <v>0</v>
      </c>
      <c r="D255" s="245"/>
      <c r="E255" s="245"/>
      <c r="F255" s="245"/>
      <c r="G255" s="246"/>
      <c r="J255" s="245"/>
      <c r="K255" s="245"/>
      <c r="L255" s="245"/>
      <c r="M255" s="245"/>
    </row>
    <row r="256" spans="1:13" ht="15" hidden="1">
      <c r="A256" s="156" t="s">
        <v>1</v>
      </c>
      <c r="B256" s="176"/>
      <c r="C256" s="226">
        <f t="shared" si="68"/>
        <v>0</v>
      </c>
      <c r="D256" s="245"/>
      <c r="E256" s="245"/>
      <c r="F256" s="245"/>
      <c r="G256" s="246"/>
      <c r="J256" s="245"/>
      <c r="K256" s="245"/>
      <c r="L256" s="245"/>
      <c r="M256" s="245"/>
    </row>
    <row r="257" spans="1:13" ht="15" hidden="1">
      <c r="A257" s="156" t="s">
        <v>159</v>
      </c>
      <c r="B257" s="176"/>
      <c r="C257" s="226">
        <f t="shared" si="68"/>
        <v>0</v>
      </c>
      <c r="D257" s="245"/>
      <c r="E257" s="245"/>
      <c r="F257" s="245"/>
      <c r="G257" s="246"/>
      <c r="J257" s="245"/>
      <c r="K257" s="245"/>
      <c r="L257" s="245"/>
      <c r="M257" s="245"/>
    </row>
    <row r="258" spans="1:13" ht="15" hidden="1">
      <c r="A258" s="156" t="s">
        <v>2</v>
      </c>
      <c r="B258" s="176"/>
      <c r="C258" s="226">
        <f t="shared" si="68"/>
        <v>0</v>
      </c>
      <c r="D258" s="245"/>
      <c r="E258" s="245"/>
      <c r="F258" s="245"/>
      <c r="G258" s="246"/>
      <c r="J258" s="245"/>
      <c r="K258" s="245"/>
      <c r="L258" s="245"/>
      <c r="M258" s="245"/>
    </row>
    <row r="259" spans="1:13" ht="15" hidden="1">
      <c r="A259" s="156" t="s">
        <v>3</v>
      </c>
      <c r="B259" s="176"/>
      <c r="C259" s="226">
        <f t="shared" si="68"/>
        <v>0</v>
      </c>
      <c r="D259" s="245"/>
      <c r="E259" s="245"/>
      <c r="F259" s="245"/>
      <c r="G259" s="246"/>
      <c r="J259" s="245"/>
      <c r="K259" s="245"/>
      <c r="L259" s="245"/>
      <c r="M259" s="245"/>
    </row>
    <row r="260" spans="1:13" ht="15" hidden="1">
      <c r="A260" s="156" t="s">
        <v>4</v>
      </c>
      <c r="B260" s="161"/>
      <c r="C260" s="157"/>
      <c r="D260" s="249"/>
      <c r="E260" s="249">
        <v>6300</v>
      </c>
      <c r="F260" s="249">
        <v>6300</v>
      </c>
      <c r="G260" s="250">
        <v>20600</v>
      </c>
      <c r="H260" s="403" t="s">
        <v>114</v>
      </c>
      <c r="I260" s="404"/>
      <c r="J260" s="249"/>
      <c r="K260" s="249"/>
      <c r="L260" s="249"/>
      <c r="M260" s="249">
        <f>J260-L260</f>
        <v>0</v>
      </c>
    </row>
    <row r="261" spans="1:13" ht="15" hidden="1">
      <c r="A261" s="156" t="s">
        <v>5</v>
      </c>
      <c r="B261" s="161"/>
      <c r="C261" s="157">
        <f t="shared" si="68"/>
        <v>0</v>
      </c>
      <c r="D261" s="249"/>
      <c r="E261" s="249"/>
      <c r="F261" s="249"/>
      <c r="G261" s="250"/>
      <c r="H261" s="251"/>
      <c r="I261" s="252"/>
      <c r="J261" s="249"/>
      <c r="K261" s="249"/>
      <c r="L261" s="249"/>
      <c r="M261" s="249"/>
    </row>
    <row r="262" spans="1:13" ht="15" hidden="1">
      <c r="A262" s="156" t="s">
        <v>6</v>
      </c>
      <c r="B262" s="161"/>
      <c r="C262" s="157">
        <f t="shared" si="68"/>
        <v>0</v>
      </c>
      <c r="D262" s="249"/>
      <c r="E262" s="249"/>
      <c r="F262" s="249"/>
      <c r="G262" s="250"/>
      <c r="H262" s="251"/>
      <c r="I262" s="252"/>
      <c r="J262" s="249"/>
      <c r="K262" s="249"/>
      <c r="L262" s="249"/>
      <c r="M262" s="249"/>
    </row>
    <row r="263" spans="1:13" ht="15" hidden="1">
      <c r="A263" s="164" t="s">
        <v>7</v>
      </c>
      <c r="B263" s="161"/>
      <c r="C263" s="157"/>
      <c r="D263" s="249"/>
      <c r="E263" s="249"/>
      <c r="F263" s="249"/>
      <c r="G263" s="250"/>
      <c r="H263" s="251"/>
      <c r="I263" s="252"/>
      <c r="J263" s="249"/>
      <c r="K263" s="249"/>
      <c r="L263" s="249"/>
      <c r="M263" s="249"/>
    </row>
    <row r="264" spans="1:13" ht="12.75" hidden="1">
      <c r="A264" s="166" t="s">
        <v>8</v>
      </c>
      <c r="B264" s="161"/>
      <c r="C264" s="249"/>
      <c r="D264" s="249"/>
      <c r="E264" s="249"/>
      <c r="F264" s="249"/>
      <c r="G264" s="250"/>
      <c r="H264" s="251" t="s">
        <v>112</v>
      </c>
      <c r="I264" s="253">
        <f>C260</f>
        <v>0</v>
      </c>
      <c r="J264" s="249"/>
      <c r="K264" s="249"/>
      <c r="L264" s="249"/>
      <c r="M264" s="249"/>
    </row>
    <row r="265" spans="1:13" ht="15" hidden="1" thickBot="1">
      <c r="A265" s="254" t="s">
        <v>108</v>
      </c>
      <c r="B265" s="169" t="s">
        <v>109</v>
      </c>
      <c r="C265" s="170"/>
      <c r="D265" s="255">
        <f>D260</f>
        <v>0</v>
      </c>
      <c r="E265" s="255">
        <f aca="true" t="shared" si="69" ref="E265:M265">E260</f>
        <v>6300</v>
      </c>
      <c r="F265" s="255">
        <f t="shared" si="69"/>
        <v>6300</v>
      </c>
      <c r="G265" s="255">
        <f t="shared" si="69"/>
        <v>20600</v>
      </c>
      <c r="H265" s="255" t="str">
        <f t="shared" si="69"/>
        <v>TOTAL 87</v>
      </c>
      <c r="I265" s="255">
        <f t="shared" si="69"/>
        <v>0</v>
      </c>
      <c r="J265" s="255">
        <f t="shared" si="69"/>
        <v>0</v>
      </c>
      <c r="K265" s="255">
        <f t="shared" si="69"/>
        <v>0</v>
      </c>
      <c r="L265" s="255">
        <f t="shared" si="69"/>
        <v>0</v>
      </c>
      <c r="M265" s="255">
        <f t="shared" si="69"/>
        <v>0</v>
      </c>
    </row>
    <row r="266" spans="1:13" ht="14.25" hidden="1">
      <c r="A266" s="164" t="s">
        <v>7</v>
      </c>
      <c r="B266" s="169"/>
      <c r="C266" s="170"/>
      <c r="D266" s="255"/>
      <c r="E266" s="255"/>
      <c r="F266" s="255"/>
      <c r="G266" s="255"/>
      <c r="H266" s="255"/>
      <c r="I266" s="255"/>
      <c r="J266" s="255">
        <f>J263</f>
        <v>0</v>
      </c>
      <c r="K266" s="255">
        <f>K263</f>
        <v>0</v>
      </c>
      <c r="L266" s="255">
        <f>L263</f>
        <v>0</v>
      </c>
      <c r="M266" s="255"/>
    </row>
    <row r="267" ht="13.5" thickBot="1"/>
    <row r="268" spans="1:14" ht="34.5" thickBot="1">
      <c r="A268" s="409" t="s">
        <v>176</v>
      </c>
      <c r="B268" s="410"/>
      <c r="C268" s="256" t="s">
        <v>166</v>
      </c>
      <c r="D268" s="256" t="s">
        <v>167</v>
      </c>
      <c r="E268" s="257"/>
      <c r="F268" s="257"/>
      <c r="G268" s="257"/>
      <c r="H268" s="257"/>
      <c r="I268" s="257"/>
      <c r="J268" s="256" t="s">
        <v>168</v>
      </c>
      <c r="K268" s="256" t="s">
        <v>169</v>
      </c>
      <c r="L268" s="256" t="s">
        <v>170</v>
      </c>
      <c r="M268" s="322" t="s">
        <v>171</v>
      </c>
      <c r="N268" s="327" t="s">
        <v>263</v>
      </c>
    </row>
    <row r="269" spans="1:14" ht="12.75">
      <c r="A269" s="411" t="s">
        <v>160</v>
      </c>
      <c r="B269" s="412"/>
      <c r="C269" s="258">
        <f>C11+C26+C46+C65+C87+C104+C151</f>
        <v>42618881</v>
      </c>
      <c r="D269" s="258">
        <f aca="true" t="shared" si="70" ref="D269:M269">D151+D104+D87+D65+D46+D26+D11</f>
        <v>24684091</v>
      </c>
      <c r="E269" s="258">
        <f t="shared" si="70"/>
        <v>8173881</v>
      </c>
      <c r="F269" s="258">
        <f t="shared" si="70"/>
        <v>8173881</v>
      </c>
      <c r="G269" s="258">
        <f t="shared" si="70"/>
        <v>8173881</v>
      </c>
      <c r="H269" s="258">
        <f t="shared" si="70"/>
        <v>8173881</v>
      </c>
      <c r="I269" s="258">
        <f t="shared" si="70"/>
        <v>8173881</v>
      </c>
      <c r="J269" s="258">
        <f t="shared" si="70"/>
        <v>33586032</v>
      </c>
      <c r="K269" s="258">
        <f t="shared" si="70"/>
        <v>33596032</v>
      </c>
      <c r="L269" s="258">
        <f t="shared" si="70"/>
        <v>21566226</v>
      </c>
      <c r="M269" s="323">
        <f t="shared" si="70"/>
        <v>12019806</v>
      </c>
      <c r="N269" s="328">
        <f>L269/C269</f>
        <v>0.5060251581922106</v>
      </c>
    </row>
    <row r="270" spans="1:14" ht="12.75">
      <c r="A270" s="407" t="s">
        <v>161</v>
      </c>
      <c r="B270" s="408"/>
      <c r="C270" s="260">
        <f>C237+C222+C207+C187+C186+C155+C109+C88+C66+C47+C43+C27+C12</f>
        <v>68433437</v>
      </c>
      <c r="D270" s="260">
        <f aca="true" t="shared" si="71" ref="D270:M270">D237+D222+D207+D185+D155+D109+D88+D66+D47+D43+D27+D12</f>
        <v>39541204</v>
      </c>
      <c r="E270" s="260">
        <f t="shared" si="71"/>
        <v>5054625</v>
      </c>
      <c r="F270" s="260">
        <f t="shared" si="71"/>
        <v>5034625</v>
      </c>
      <c r="G270" s="260">
        <f t="shared" si="71"/>
        <v>3575725</v>
      </c>
      <c r="H270" s="260" t="e">
        <f t="shared" si="71"/>
        <v>#VALUE!</v>
      </c>
      <c r="I270" s="260">
        <f t="shared" si="71"/>
        <v>3869925</v>
      </c>
      <c r="J270" s="260">
        <f t="shared" si="71"/>
        <v>53494992</v>
      </c>
      <c r="K270" s="260">
        <f t="shared" si="71"/>
        <v>53494992</v>
      </c>
      <c r="L270" s="260">
        <f t="shared" si="71"/>
        <v>26012784</v>
      </c>
      <c r="M270" s="324">
        <f t="shared" si="71"/>
        <v>27482208</v>
      </c>
      <c r="N270" s="328">
        <f aca="true" t="shared" si="72" ref="N270:N279">L270/C270</f>
        <v>0.3801180408343366</v>
      </c>
    </row>
    <row r="271" spans="1:14" ht="12.75">
      <c r="A271" s="407" t="s">
        <v>0</v>
      </c>
      <c r="B271" s="408"/>
      <c r="C271" s="260">
        <f>C42</f>
        <v>3700000</v>
      </c>
      <c r="D271" s="260">
        <f aca="true" t="shared" si="73" ref="D271:M271">D42</f>
        <v>3300000</v>
      </c>
      <c r="E271" s="260">
        <f t="shared" si="73"/>
        <v>2730000</v>
      </c>
      <c r="F271" s="260">
        <f t="shared" si="73"/>
        <v>620000</v>
      </c>
      <c r="G271" s="260">
        <f t="shared" si="73"/>
        <v>1310000</v>
      </c>
      <c r="H271" s="260" t="str">
        <f t="shared" si="73"/>
        <v>TOTAL 55</v>
      </c>
      <c r="I271" s="260">
        <f t="shared" si="73"/>
        <v>0</v>
      </c>
      <c r="J271" s="260">
        <f t="shared" si="73"/>
        <v>3700000</v>
      </c>
      <c r="K271" s="260">
        <f t="shared" si="73"/>
        <v>3700000</v>
      </c>
      <c r="L271" s="260">
        <f t="shared" si="73"/>
        <v>2013667</v>
      </c>
      <c r="M271" s="324">
        <f t="shared" si="73"/>
        <v>1686333</v>
      </c>
      <c r="N271" s="328">
        <f t="shared" si="72"/>
        <v>0.5442343243243243</v>
      </c>
    </row>
    <row r="272" spans="1:14" ht="12.75">
      <c r="A272" s="407" t="s">
        <v>1</v>
      </c>
      <c r="B272" s="408"/>
      <c r="C272" s="260">
        <f>C239</f>
        <v>7500000</v>
      </c>
      <c r="D272" s="260">
        <f aca="true" t="shared" si="74" ref="D272:M272">D239</f>
        <v>4175000</v>
      </c>
      <c r="E272" s="260">
        <f t="shared" si="74"/>
        <v>0</v>
      </c>
      <c r="F272" s="260">
        <f t="shared" si="74"/>
        <v>0</v>
      </c>
      <c r="G272" s="260">
        <f t="shared" si="74"/>
        <v>0</v>
      </c>
      <c r="H272" s="260">
        <f t="shared" si="74"/>
        <v>0</v>
      </c>
      <c r="I272" s="260">
        <f t="shared" si="74"/>
        <v>0</v>
      </c>
      <c r="J272" s="260">
        <f t="shared" si="74"/>
        <v>7500000</v>
      </c>
      <c r="K272" s="260">
        <f t="shared" si="74"/>
        <v>7500000</v>
      </c>
      <c r="L272" s="260">
        <f t="shared" si="74"/>
        <v>3372568</v>
      </c>
      <c r="M272" s="324">
        <f t="shared" si="74"/>
        <v>4127432</v>
      </c>
      <c r="N272" s="328">
        <f t="shared" si="72"/>
        <v>0.4496757333333333</v>
      </c>
    </row>
    <row r="273" spans="1:14" ht="12.75">
      <c r="A273" s="413" t="s">
        <v>237</v>
      </c>
      <c r="B273" s="414"/>
      <c r="C273" s="260">
        <f>C28</f>
        <v>10000</v>
      </c>
      <c r="D273" s="260">
        <f aca="true" t="shared" si="75" ref="D273:M273">D28</f>
        <v>10000</v>
      </c>
      <c r="E273" s="260">
        <f t="shared" si="75"/>
        <v>0</v>
      </c>
      <c r="F273" s="260">
        <f t="shared" si="75"/>
        <v>0</v>
      </c>
      <c r="G273" s="260">
        <f t="shared" si="75"/>
        <v>0</v>
      </c>
      <c r="H273" s="260">
        <f t="shared" si="75"/>
        <v>0</v>
      </c>
      <c r="I273" s="260">
        <f t="shared" si="75"/>
        <v>0</v>
      </c>
      <c r="J273" s="260">
        <f t="shared" si="75"/>
        <v>0</v>
      </c>
      <c r="K273" s="260">
        <f t="shared" si="75"/>
        <v>0</v>
      </c>
      <c r="L273" s="260">
        <f t="shared" si="75"/>
        <v>0</v>
      </c>
      <c r="M273" s="324">
        <f t="shared" si="75"/>
        <v>0</v>
      </c>
      <c r="N273" s="328">
        <f t="shared" si="72"/>
        <v>0</v>
      </c>
    </row>
    <row r="274" spans="1:14" ht="12.75">
      <c r="A274" s="407" t="s">
        <v>159</v>
      </c>
      <c r="B274" s="408"/>
      <c r="C274" s="260">
        <f>C190+C161+C120+C16</f>
        <v>11190500</v>
      </c>
      <c r="D274" s="260">
        <f aca="true" t="shared" si="76" ref="D274:M274">D190+D161+D120+D16</f>
        <v>8439329</v>
      </c>
      <c r="E274" s="260">
        <f t="shared" si="76"/>
        <v>0</v>
      </c>
      <c r="F274" s="260">
        <f t="shared" si="76"/>
        <v>0</v>
      </c>
      <c r="G274" s="260">
        <f t="shared" si="76"/>
        <v>0</v>
      </c>
      <c r="H274" s="260">
        <f t="shared" si="76"/>
        <v>0</v>
      </c>
      <c r="I274" s="260">
        <f t="shared" si="76"/>
        <v>0</v>
      </c>
      <c r="J274" s="260">
        <f t="shared" si="76"/>
        <v>9620000</v>
      </c>
      <c r="K274" s="260">
        <f t="shared" si="76"/>
        <v>9620000</v>
      </c>
      <c r="L274" s="260">
        <f t="shared" si="76"/>
        <v>5960325</v>
      </c>
      <c r="M274" s="324">
        <f t="shared" si="76"/>
        <v>3659675</v>
      </c>
      <c r="N274" s="328">
        <f t="shared" si="72"/>
        <v>0.5326236539922256</v>
      </c>
    </row>
    <row r="275" spans="1:14" ht="12.75">
      <c r="A275" s="407" t="s">
        <v>2</v>
      </c>
      <c r="B275" s="408"/>
      <c r="C275" s="260">
        <f>C70</f>
        <v>193000</v>
      </c>
      <c r="D275" s="260">
        <f aca="true" t="shared" si="77" ref="D275:M275">D70</f>
        <v>100000</v>
      </c>
      <c r="E275" s="260">
        <f t="shared" si="77"/>
        <v>0</v>
      </c>
      <c r="F275" s="260">
        <f t="shared" si="77"/>
        <v>0</v>
      </c>
      <c r="G275" s="260">
        <f t="shared" si="77"/>
        <v>0</v>
      </c>
      <c r="H275" s="260">
        <f t="shared" si="77"/>
        <v>0</v>
      </c>
      <c r="I275" s="260">
        <f t="shared" si="77"/>
        <v>0</v>
      </c>
      <c r="J275" s="260">
        <f t="shared" si="77"/>
        <v>100000</v>
      </c>
      <c r="K275" s="260">
        <f t="shared" si="77"/>
        <v>100000</v>
      </c>
      <c r="L275" s="260">
        <f t="shared" si="77"/>
        <v>100000</v>
      </c>
      <c r="M275" s="324">
        <f t="shared" si="77"/>
        <v>0</v>
      </c>
      <c r="N275" s="328">
        <f t="shared" si="72"/>
        <v>0.5181347150259067</v>
      </c>
    </row>
    <row r="276" spans="1:14" ht="12.75">
      <c r="A276" s="407" t="s">
        <v>3</v>
      </c>
      <c r="B276" s="408"/>
      <c r="C276" s="260">
        <f>C164+C71</f>
        <v>18095583</v>
      </c>
      <c r="D276" s="260">
        <f aca="true" t="shared" si="78" ref="D276:M276">D164+D71</f>
        <v>9028383</v>
      </c>
      <c r="E276" s="260">
        <f t="shared" si="78"/>
        <v>0</v>
      </c>
      <c r="F276" s="260">
        <f t="shared" si="78"/>
        <v>0</v>
      </c>
      <c r="G276" s="260">
        <f t="shared" si="78"/>
        <v>0</v>
      </c>
      <c r="H276" s="260">
        <f t="shared" si="78"/>
        <v>0</v>
      </c>
      <c r="I276" s="260">
        <f t="shared" si="78"/>
        <v>0</v>
      </c>
      <c r="J276" s="260">
        <f t="shared" si="78"/>
        <v>8338439</v>
      </c>
      <c r="K276" s="260">
        <f t="shared" si="78"/>
        <v>8338439</v>
      </c>
      <c r="L276" s="260">
        <f t="shared" si="78"/>
        <v>8305146</v>
      </c>
      <c r="M276" s="324">
        <f t="shared" si="78"/>
        <v>33293</v>
      </c>
      <c r="N276" s="328">
        <f t="shared" si="72"/>
        <v>0.4589598467206058</v>
      </c>
    </row>
    <row r="277" spans="1:16" ht="12.75">
      <c r="A277" s="407" t="s">
        <v>4</v>
      </c>
      <c r="B277" s="408"/>
      <c r="C277" s="260">
        <f>C169+C128+C96+C72+C33+C18</f>
        <v>2247500</v>
      </c>
      <c r="D277" s="260">
        <f aca="true" t="shared" si="79" ref="D277:M277">D169+D128+D72+D33+D18+D96</f>
        <v>1277300</v>
      </c>
      <c r="E277" s="260">
        <f t="shared" si="79"/>
        <v>300000</v>
      </c>
      <c r="F277" s="260">
        <f t="shared" si="79"/>
        <v>300000</v>
      </c>
      <c r="G277" s="260">
        <f t="shared" si="79"/>
        <v>300000</v>
      </c>
      <c r="H277" s="260">
        <f t="shared" si="79"/>
        <v>300000</v>
      </c>
      <c r="I277" s="260">
        <f t="shared" si="79"/>
        <v>300000</v>
      </c>
      <c r="J277" s="260">
        <f t="shared" si="79"/>
        <v>990293</v>
      </c>
      <c r="K277" s="260">
        <f t="shared" si="79"/>
        <v>990293</v>
      </c>
      <c r="L277" s="260">
        <f t="shared" si="79"/>
        <v>852185</v>
      </c>
      <c r="M277" s="324">
        <f t="shared" si="79"/>
        <v>138108</v>
      </c>
      <c r="N277" s="328">
        <f t="shared" si="72"/>
        <v>0.3791701890989989</v>
      </c>
      <c r="P277" s="243"/>
    </row>
    <row r="278" spans="1:16" ht="12.75">
      <c r="A278" s="407" t="s">
        <v>5</v>
      </c>
      <c r="B278" s="408"/>
      <c r="C278" s="260"/>
      <c r="D278" s="260"/>
      <c r="E278" s="260"/>
      <c r="F278" s="260"/>
      <c r="G278" s="260"/>
      <c r="H278" s="260"/>
      <c r="I278" s="260"/>
      <c r="J278" s="260"/>
      <c r="K278" s="260"/>
      <c r="L278" s="260"/>
      <c r="M278" s="324"/>
      <c r="N278" s="328"/>
      <c r="P278" s="243"/>
    </row>
    <row r="279" spans="1:19" ht="12.75">
      <c r="A279" s="407" t="s">
        <v>6</v>
      </c>
      <c r="B279" s="408"/>
      <c r="C279" s="260">
        <f>C245+C197</f>
        <v>10850000</v>
      </c>
      <c r="D279" s="260">
        <f aca="true" t="shared" si="80" ref="D279:M279">D245+D197</f>
        <v>7050000</v>
      </c>
      <c r="E279" s="260">
        <f t="shared" si="80"/>
        <v>0</v>
      </c>
      <c r="F279" s="260">
        <f t="shared" si="80"/>
        <v>0</v>
      </c>
      <c r="G279" s="260">
        <f t="shared" si="80"/>
        <v>0</v>
      </c>
      <c r="H279" s="260">
        <f t="shared" si="80"/>
        <v>0</v>
      </c>
      <c r="I279" s="260">
        <f t="shared" si="80"/>
        <v>0</v>
      </c>
      <c r="J279" s="260">
        <f t="shared" si="80"/>
        <v>10850000</v>
      </c>
      <c r="K279" s="260">
        <f t="shared" si="80"/>
        <v>10850000</v>
      </c>
      <c r="L279" s="260">
        <f t="shared" si="80"/>
        <v>5843118</v>
      </c>
      <c r="M279" s="324">
        <f t="shared" si="80"/>
        <v>5006882</v>
      </c>
      <c r="N279" s="328">
        <f t="shared" si="72"/>
        <v>0.5385362211981567</v>
      </c>
      <c r="P279" s="243"/>
      <c r="Q279" s="243"/>
      <c r="R279" s="243"/>
      <c r="S279" s="243"/>
    </row>
    <row r="280" spans="1:14" ht="13.5" thickBot="1">
      <c r="A280" s="417" t="s">
        <v>7</v>
      </c>
      <c r="B280" s="418"/>
      <c r="C280" s="261">
        <f>C263+C246+C231+C216+C198+C175+C133+C99+C75+C58+C36+C21</f>
        <v>3</v>
      </c>
      <c r="D280" s="261">
        <f aca="true" t="shared" si="81" ref="D280:M280">D263+D246+D231+D216+D198+D175+D133+D99+D75+D58+D36+D21</f>
        <v>0</v>
      </c>
      <c r="E280" s="261">
        <f t="shared" si="81"/>
        <v>0</v>
      </c>
      <c r="F280" s="261">
        <f t="shared" si="81"/>
        <v>0</v>
      </c>
      <c r="G280" s="261">
        <f t="shared" si="81"/>
        <v>0</v>
      </c>
      <c r="H280" s="261">
        <f t="shared" si="81"/>
        <v>0</v>
      </c>
      <c r="I280" s="261">
        <f t="shared" si="81"/>
        <v>0</v>
      </c>
      <c r="J280" s="261">
        <f>J246+J216+J198+J175+J133+J75+J58+J21</f>
        <v>-63363</v>
      </c>
      <c r="K280" s="261">
        <f>K246+K216+K198+K175+K133+K75+K58+K21</f>
        <v>-63363</v>
      </c>
      <c r="L280" s="261">
        <f>L246+L216+L198+L175+L133+L75+L58+L21</f>
        <v>-63363</v>
      </c>
      <c r="M280" s="325">
        <f t="shared" si="81"/>
        <v>0</v>
      </c>
      <c r="N280" s="326"/>
    </row>
    <row r="281" ht="13.5" thickBot="1"/>
    <row r="282" spans="1:14" ht="24.75" customHeight="1" thickBot="1">
      <c r="A282" s="419" t="s">
        <v>158</v>
      </c>
      <c r="B282" s="420"/>
      <c r="C282" s="262">
        <f>C269+C270+C271+C272+C274+C275+C276+C277+C278+C279+C280+C273</f>
        <v>164838904</v>
      </c>
      <c r="D282" s="262">
        <f aca="true" t="shared" si="82" ref="D282:M282">D269+D270+D271+D272+D274+D275+D276+D277+D278+D279+D280+D273</f>
        <v>97605307</v>
      </c>
      <c r="E282" s="262">
        <f t="shared" si="82"/>
        <v>196507000</v>
      </c>
      <c r="F282" s="262">
        <f t="shared" si="82"/>
        <v>196507000</v>
      </c>
      <c r="G282" s="262">
        <f t="shared" si="82"/>
        <v>196507000</v>
      </c>
      <c r="H282" s="262">
        <f t="shared" si="82"/>
        <v>196507000</v>
      </c>
      <c r="I282" s="262">
        <f t="shared" si="82"/>
        <v>196507000</v>
      </c>
      <c r="J282" s="262">
        <f t="shared" si="82"/>
        <v>128116393</v>
      </c>
      <c r="K282" s="262">
        <f t="shared" si="82"/>
        <v>128126393</v>
      </c>
      <c r="L282" s="262">
        <f t="shared" si="82"/>
        <v>73962656</v>
      </c>
      <c r="M282" s="329">
        <f t="shared" si="82"/>
        <v>54153737</v>
      </c>
      <c r="N282" s="330">
        <f>L282/C282</f>
        <v>0.4486966013799752</v>
      </c>
    </row>
    <row r="284" ht="12.75">
      <c r="A284" s="263" t="s">
        <v>179</v>
      </c>
    </row>
    <row r="285" spans="1:11" ht="12.75">
      <c r="A285" s="264" t="s">
        <v>204</v>
      </c>
      <c r="C285" s="265"/>
      <c r="D285" s="265"/>
      <c r="E285" s="265"/>
      <c r="F285" s="265"/>
      <c r="G285" s="265"/>
      <c r="H285" s="265"/>
      <c r="I285" s="265"/>
      <c r="J285" s="265"/>
      <c r="K285" s="265" t="s">
        <v>248</v>
      </c>
    </row>
    <row r="286" spans="1:16" ht="12.75">
      <c r="A286" s="266" t="s">
        <v>245</v>
      </c>
      <c r="K286" s="145" t="s">
        <v>244</v>
      </c>
      <c r="P286" s="243"/>
    </row>
    <row r="289" spans="2:13" ht="12.75" hidden="1">
      <c r="B289" s="415" t="s">
        <v>223</v>
      </c>
      <c r="C289" s="267">
        <f>C249+C248+C233+C218+C203+C202+C201+C181+C180+C179+C178+C177+C146+C144+C143+C139+C137+C101+C83+C82+C81+C80+C79+C78+C77+C61+C60+C43+C42+C39+C23</f>
        <v>164480631</v>
      </c>
      <c r="D289" s="267">
        <f aca="true" t="shared" si="83" ref="D289:I289">D249+D248+D233+D218+D203+D202+D201+D181+D180+D179+D178+D177+D146+D144+D143+D139+D137+D101+D83+D82+D81+D80+D79+D78+D77+D61+D60+D43+D42+D39+D23</f>
        <v>97571037</v>
      </c>
      <c r="E289" s="267">
        <f t="shared" si="83"/>
        <v>16258506</v>
      </c>
      <c r="F289" s="267">
        <f t="shared" si="83"/>
        <v>14128506</v>
      </c>
      <c r="G289" s="267">
        <f t="shared" si="83"/>
        <v>13359606</v>
      </c>
      <c r="H289" s="267" t="e">
        <f t="shared" si="83"/>
        <v>#VALUE!</v>
      </c>
      <c r="I289" s="267">
        <f t="shared" si="83"/>
        <v>11543806</v>
      </c>
      <c r="J289" s="267">
        <f>J251+J249+J248+J234+J233+J218+J204+J182+J203+J202+J201+J181+J180+J179+J178+J177+J149+J146+J144+J143+J139+J137+J101+J83+J82+J81+J80+J79+J78+J77+J63+J61+J60+J42+J39+J24+J23</f>
        <v>128110132</v>
      </c>
      <c r="K289" s="267">
        <f>K251+K249+K248+K234+K233+K218+K204+K182+K203+K202+K201+K181+K180+K179+K178+K177+K149+K146+K144+K143+K139+K137+K101+K83+K82+K81+K80+K79+K78+K77+K63+K61+K60+K42+K39+K24+K23</f>
        <v>128120132</v>
      </c>
      <c r="L289" s="267">
        <f>L251+L249+L248+L234+L233+L218+L204+L182+L203+L202+L201+L181+L180+L179+L178+L177+L149+L146+L144+L143+L139+L137+L101+L83+L82+L81+L80+L79+L78+L77+L63+L61+L60+L42+L39+L24+L23</f>
        <v>73970645</v>
      </c>
      <c r="M289" s="267">
        <f>M251+M249+M248+M234+M233+M218+M204+M182+M203+M202+M201+M181+M180+M179+M178+M177+M149+M146+M144+M143+M139+M137+M101+M83+M82+M81+M80+M79+M78+M77+M63+M61+M60+M42+M39+M24+M23</f>
        <v>54139487</v>
      </c>
    </row>
    <row r="290" ht="12.75" hidden="1">
      <c r="B290" s="416"/>
    </row>
    <row r="291" spans="2:15" ht="12.75" hidden="1">
      <c r="B291" s="145" t="s">
        <v>233</v>
      </c>
      <c r="C291" s="243">
        <f>C282-C289</f>
        <v>358273</v>
      </c>
      <c r="D291" s="243">
        <f aca="true" t="shared" si="84" ref="D291:M291">D282-D289</f>
        <v>34270</v>
      </c>
      <c r="E291" s="243">
        <f t="shared" si="84"/>
        <v>0</v>
      </c>
      <c r="F291" s="243">
        <f t="shared" si="84"/>
        <v>0</v>
      </c>
      <c r="G291" s="243">
        <f t="shared" si="84"/>
        <v>0</v>
      </c>
      <c r="H291" s="243">
        <f t="shared" si="84"/>
        <v>0</v>
      </c>
      <c r="I291" s="243">
        <f t="shared" si="84"/>
        <v>0</v>
      </c>
      <c r="J291" s="243">
        <f t="shared" si="84"/>
        <v>6261</v>
      </c>
      <c r="K291" s="243">
        <f t="shared" si="84"/>
        <v>6261</v>
      </c>
      <c r="L291" s="243">
        <f t="shared" si="84"/>
        <v>-7989</v>
      </c>
      <c r="M291" s="243">
        <f t="shared" si="84"/>
        <v>14250</v>
      </c>
      <c r="O291" s="243"/>
    </row>
    <row r="294" spans="5:9" ht="12.75" hidden="1">
      <c r="E294" s="391" t="s">
        <v>124</v>
      </c>
      <c r="F294" s="392"/>
      <c r="G294" s="393"/>
      <c r="H294" s="397">
        <f>I265+I250+I233+I218++I203+I181+I148+I101+I80+I62+I43+I39+I23</f>
        <v>49000000</v>
      </c>
      <c r="I294" s="398"/>
    </row>
    <row r="295" spans="5:9" ht="13.5" hidden="1" thickBot="1">
      <c r="E295" s="394"/>
      <c r="F295" s="395"/>
      <c r="G295" s="396"/>
      <c r="H295" s="399"/>
      <c r="I295" s="400"/>
    </row>
    <row r="296" ht="12.75" hidden="1"/>
    <row r="297" spans="1:2" ht="16.5" hidden="1" thickBot="1">
      <c r="A297" s="259" t="s">
        <v>158</v>
      </c>
      <c r="B297" s="268">
        <f>I265+I250+I233+I218+I203+I181+I148+I101+I80+I62+I43+I39+I23</f>
        <v>49000000</v>
      </c>
    </row>
    <row r="298" spans="1:6" ht="18" hidden="1">
      <c r="A298" s="269" t="s">
        <v>150</v>
      </c>
      <c r="B298" s="270" t="s">
        <v>151</v>
      </c>
      <c r="C298" s="270" t="s">
        <v>152</v>
      </c>
      <c r="D298" s="270" t="s">
        <v>153</v>
      </c>
      <c r="E298" s="270" t="s">
        <v>154</v>
      </c>
      <c r="F298" s="271" t="s">
        <v>155</v>
      </c>
    </row>
    <row r="299" spans="1:6" ht="15.75" hidden="1">
      <c r="A299" s="272" t="s">
        <v>160</v>
      </c>
      <c r="B299" s="268">
        <f>C299+D299+E299+F299</f>
        <v>47514000</v>
      </c>
      <c r="C299" s="273">
        <f>D151+D87+D65+D46+D26+D11</f>
        <v>24129000</v>
      </c>
      <c r="D299" s="273">
        <f>E151+E87+E65+E46+E26+E11</f>
        <v>7795000</v>
      </c>
      <c r="E299" s="273">
        <f>F151+F87+F65+F46+F26+F11</f>
        <v>7795000</v>
      </c>
      <c r="F299" s="274">
        <f>G151+G87+G65+G46+G26+G11</f>
        <v>7795000</v>
      </c>
    </row>
    <row r="300" spans="1:6" ht="15.75" hidden="1">
      <c r="A300" s="272" t="s">
        <v>173</v>
      </c>
      <c r="B300" s="268">
        <f aca="true" t="shared" si="85" ref="B300:B309">C300+D300+E300+F300</f>
        <v>53206179</v>
      </c>
      <c r="C300" s="273">
        <f>D237+D222+D207+D185+D155+D109+D88+D66+D47+D43+D27+D12</f>
        <v>39541204</v>
      </c>
      <c r="D300" s="273">
        <f>E237+E222+E207+E185+E155+E109+E88+E66+E47+E43+E27+E12</f>
        <v>5054625</v>
      </c>
      <c r="E300" s="273">
        <f>F237+F222+F207+F185+F155+F109+F88+F66+F47+F43+F27+F12</f>
        <v>5034625</v>
      </c>
      <c r="F300" s="274">
        <f>G237+G222+G207+G185+G155+G109+G88+G66+G47+G43+G27+G12</f>
        <v>3575725</v>
      </c>
    </row>
    <row r="301" spans="1:6" ht="15.75" hidden="1">
      <c r="A301" s="272" t="s">
        <v>0</v>
      </c>
      <c r="B301" s="268">
        <f t="shared" si="85"/>
        <v>7960000</v>
      </c>
      <c r="C301" s="273">
        <f>D42</f>
        <v>3300000</v>
      </c>
      <c r="D301" s="273">
        <f>E42</f>
        <v>2730000</v>
      </c>
      <c r="E301" s="273">
        <f>F42</f>
        <v>620000</v>
      </c>
      <c r="F301" s="274">
        <f>G42</f>
        <v>1310000</v>
      </c>
    </row>
    <row r="302" spans="1:6" ht="15.75" hidden="1">
      <c r="A302" s="272" t="s">
        <v>1</v>
      </c>
      <c r="B302" s="268">
        <f t="shared" si="85"/>
        <v>4175000</v>
      </c>
      <c r="C302" s="273">
        <f>D239</f>
        <v>4175000</v>
      </c>
      <c r="D302" s="273">
        <f>E239</f>
        <v>0</v>
      </c>
      <c r="E302" s="273">
        <f>F239</f>
        <v>0</v>
      </c>
      <c r="F302" s="274">
        <f>G239</f>
        <v>0</v>
      </c>
    </row>
    <row r="303" spans="1:6" ht="15.75" hidden="1">
      <c r="A303" s="272" t="s">
        <v>159</v>
      </c>
      <c r="B303" s="268">
        <f t="shared" si="85"/>
        <v>8439329</v>
      </c>
      <c r="C303" s="273">
        <f>D190+D161+D120</f>
        <v>8439329</v>
      </c>
      <c r="D303" s="273">
        <f>E190+E161+E120</f>
        <v>0</v>
      </c>
      <c r="E303" s="273">
        <f>F190+F161+F120</f>
        <v>0</v>
      </c>
      <c r="F303" s="274">
        <f>G190+G161+G120</f>
        <v>0</v>
      </c>
    </row>
    <row r="304" spans="1:6" ht="15.75" hidden="1">
      <c r="A304" s="272" t="s">
        <v>2</v>
      </c>
      <c r="B304" s="268">
        <f t="shared" si="85"/>
        <v>0</v>
      </c>
      <c r="C304" s="275"/>
      <c r="D304" s="275"/>
      <c r="E304" s="275"/>
      <c r="F304" s="276"/>
    </row>
    <row r="305" spans="1:6" ht="15.75" hidden="1">
      <c r="A305" s="272" t="s">
        <v>3</v>
      </c>
      <c r="B305" s="268">
        <f t="shared" si="85"/>
        <v>9028383</v>
      </c>
      <c r="C305" s="273">
        <f>D164+D71</f>
        <v>9028383</v>
      </c>
      <c r="D305" s="273">
        <f>E164+E71</f>
        <v>0</v>
      </c>
      <c r="E305" s="273">
        <f>F164+F71</f>
        <v>0</v>
      </c>
      <c r="F305" s="274">
        <f>G164+G71</f>
        <v>0</v>
      </c>
    </row>
    <row r="306" spans="1:6" ht="15.75" hidden="1">
      <c r="A306" s="272" t="s">
        <v>4</v>
      </c>
      <c r="B306" s="268">
        <f t="shared" si="85"/>
        <v>2099500</v>
      </c>
      <c r="C306" s="273">
        <f>D260+D195+D169+D128+D72</f>
        <v>1166300</v>
      </c>
      <c r="D306" s="273">
        <f>E260+E195+E169+E128+E72</f>
        <v>306300</v>
      </c>
      <c r="E306" s="273">
        <f>F260+F195+F169+F128+F72</f>
        <v>306300</v>
      </c>
      <c r="F306" s="274">
        <f>G260+G195+G169+G128+G72</f>
        <v>320600</v>
      </c>
    </row>
    <row r="307" spans="1:6" ht="15.75" hidden="1">
      <c r="A307" s="272" t="s">
        <v>5</v>
      </c>
      <c r="B307" s="268">
        <f t="shared" si="85"/>
        <v>0</v>
      </c>
      <c r="C307" s="275"/>
      <c r="D307" s="275"/>
      <c r="E307" s="275"/>
      <c r="F307" s="276"/>
    </row>
    <row r="308" spans="1:6" ht="15.75" hidden="1">
      <c r="A308" s="272" t="s">
        <v>6</v>
      </c>
      <c r="B308" s="268">
        <f t="shared" si="85"/>
        <v>7050000</v>
      </c>
      <c r="C308" s="273">
        <f>D245+D197</f>
        <v>7050000</v>
      </c>
      <c r="D308" s="273">
        <f>E245+E197</f>
        <v>0</v>
      </c>
      <c r="E308" s="273">
        <f>F245+F197</f>
        <v>0</v>
      </c>
      <c r="F308" s="274">
        <f>G245+G197</f>
        <v>0</v>
      </c>
    </row>
    <row r="309" spans="1:6" ht="15.75" hidden="1">
      <c r="A309" s="272" t="s">
        <v>7</v>
      </c>
      <c r="B309" s="268">
        <f t="shared" si="85"/>
        <v>0</v>
      </c>
      <c r="C309" s="275"/>
      <c r="D309" s="275"/>
      <c r="E309" s="275"/>
      <c r="F309" s="276"/>
    </row>
    <row r="310" spans="1:6" ht="16.5" hidden="1" thickBot="1">
      <c r="A310" s="277" t="s">
        <v>156</v>
      </c>
      <c r="B310" s="278">
        <f>B299+B300+B301+B302+B303+B304+B305+B306+B307+B308+B309</f>
        <v>139472391</v>
      </c>
      <c r="C310" s="278">
        <f>C299+C300+C301+C302+C303+C304+C305+C306+C307+C308+C309</f>
        <v>96829216</v>
      </c>
      <c r="D310" s="278">
        <f>D299+D300+D301+D302+D303+D304+D305+D306+D307+D308+D309</f>
        <v>15885925</v>
      </c>
      <c r="E310" s="278">
        <f>E299+E300+E301+E302+E303+E304+E305+E306+E307+E308+E309</f>
        <v>13755925</v>
      </c>
      <c r="F310" s="279">
        <f>F299+F300+F301+F302+F303+F304+F305+F306+F307+F308+F309</f>
        <v>13001325</v>
      </c>
    </row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</sheetData>
  <sheetProtection/>
  <mergeCells count="37">
    <mergeCell ref="B289:B290"/>
    <mergeCell ref="A280:B280"/>
    <mergeCell ref="A282:B282"/>
    <mergeCell ref="A276:B276"/>
    <mergeCell ref="A277:B277"/>
    <mergeCell ref="A278:B278"/>
    <mergeCell ref="A279:B279"/>
    <mergeCell ref="A8:B8"/>
    <mergeCell ref="A272:B272"/>
    <mergeCell ref="A274:B274"/>
    <mergeCell ref="A275:B275"/>
    <mergeCell ref="A268:B268"/>
    <mergeCell ref="A269:B269"/>
    <mergeCell ref="A270:B270"/>
    <mergeCell ref="A271:B271"/>
    <mergeCell ref="A273:B273"/>
    <mergeCell ref="B26:B27"/>
    <mergeCell ref="A6:M6"/>
    <mergeCell ref="E294:G295"/>
    <mergeCell ref="H294:I295"/>
    <mergeCell ref="H78:I78"/>
    <mergeCell ref="H12:I12"/>
    <mergeCell ref="H27:I27"/>
    <mergeCell ref="H42:I42"/>
    <mergeCell ref="H60:I60"/>
    <mergeCell ref="H260:I260"/>
    <mergeCell ref="H248:I248"/>
    <mergeCell ref="B11:B18"/>
    <mergeCell ref="K1:M2"/>
    <mergeCell ref="H146:I146"/>
    <mergeCell ref="H90:I90"/>
    <mergeCell ref="H222:I222"/>
    <mergeCell ref="H207:I207"/>
    <mergeCell ref="H201:I201"/>
    <mergeCell ref="H179:I179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55"/>
  <sheetViews>
    <sheetView tabSelected="1" zoomScalePageLayoutView="0" workbookViewId="0" topLeftCell="A116">
      <selection activeCell="D153" sqref="D153"/>
    </sheetView>
  </sheetViews>
  <sheetFormatPr defaultColWidth="9.140625" defaultRowHeight="12.75"/>
  <cols>
    <col min="1" max="1" width="52.57421875" style="0" customWidth="1"/>
    <col min="2" max="2" width="14.421875" style="0" customWidth="1"/>
    <col min="3" max="3" width="12.8515625" style="9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3.28125" style="0" customWidth="1"/>
  </cols>
  <sheetData>
    <row r="1" ht="14.25">
      <c r="A1" s="54" t="s">
        <v>205</v>
      </c>
    </row>
    <row r="2" spans="1:12" ht="14.25">
      <c r="A2" s="54" t="s">
        <v>206</v>
      </c>
      <c r="I2" s="451" t="s">
        <v>236</v>
      </c>
      <c r="J2" s="451"/>
      <c r="K2" s="451"/>
      <c r="L2" s="451"/>
    </row>
    <row r="3" spans="1:11" ht="14.25">
      <c r="A3" s="54"/>
      <c r="I3" s="30"/>
      <c r="J3" s="30"/>
      <c r="K3" s="30"/>
    </row>
    <row r="4" spans="1:12" ht="24.75" customHeight="1">
      <c r="A4" s="443" t="s">
        <v>182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</row>
    <row r="5" spans="1:11" ht="24.75" customHeight="1">
      <c r="A5" s="443" t="s">
        <v>260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</row>
    <row r="6" spans="1:12" ht="18.75" customHeight="1" thickBot="1">
      <c r="A6" s="29"/>
      <c r="B6" s="29"/>
      <c r="C6" s="29"/>
      <c r="D6" s="29"/>
      <c r="E6" s="29"/>
      <c r="F6" s="29"/>
      <c r="G6" s="29"/>
      <c r="H6" s="29"/>
      <c r="I6" s="29"/>
      <c r="J6" s="29"/>
      <c r="L6" s="37" t="s">
        <v>180</v>
      </c>
    </row>
    <row r="7" spans="1:12" ht="45" customHeight="1">
      <c r="A7" s="449" t="s">
        <v>165</v>
      </c>
      <c r="B7" s="450"/>
      <c r="C7" s="81" t="s">
        <v>166</v>
      </c>
      <c r="D7" s="81" t="s">
        <v>167</v>
      </c>
      <c r="E7" s="82"/>
      <c r="F7" s="82"/>
      <c r="G7" s="82"/>
      <c r="H7" s="81" t="s">
        <v>168</v>
      </c>
      <c r="I7" s="81" t="s">
        <v>169</v>
      </c>
      <c r="J7" s="81" t="s">
        <v>170</v>
      </c>
      <c r="K7" s="83" t="s">
        <v>171</v>
      </c>
      <c r="L7" s="331" t="s">
        <v>261</v>
      </c>
    </row>
    <row r="8" spans="1:12" ht="12.75" customHeight="1">
      <c r="A8" s="84"/>
      <c r="B8" s="38"/>
      <c r="C8" s="39">
        <v>1</v>
      </c>
      <c r="D8" s="39">
        <v>2</v>
      </c>
      <c r="E8" s="39"/>
      <c r="F8" s="39"/>
      <c r="G8" s="39"/>
      <c r="H8" s="39">
        <v>3</v>
      </c>
      <c r="I8" s="39">
        <v>4</v>
      </c>
      <c r="J8" s="39">
        <v>5</v>
      </c>
      <c r="K8" s="85" t="s">
        <v>174</v>
      </c>
      <c r="L8" s="332" t="s">
        <v>262</v>
      </c>
    </row>
    <row r="9" spans="1:12" ht="15" customHeight="1">
      <c r="A9" s="32" t="s">
        <v>130</v>
      </c>
      <c r="B9" s="33" t="s">
        <v>172</v>
      </c>
      <c r="C9" s="34">
        <f>C10+C11+C12+C13+C14</f>
        <v>1197500</v>
      </c>
      <c r="D9" s="34">
        <f aca="true" t="shared" si="0" ref="D9:K9">D10+D11+D12+D13+D14</f>
        <v>1000000</v>
      </c>
      <c r="E9" s="34">
        <f t="shared" si="0"/>
        <v>700000</v>
      </c>
      <c r="F9" s="34">
        <f t="shared" si="0"/>
        <v>436322</v>
      </c>
      <c r="G9" s="34">
        <f t="shared" si="0"/>
        <v>160000</v>
      </c>
      <c r="H9" s="34">
        <f t="shared" si="0"/>
        <v>526214</v>
      </c>
      <c r="I9" s="34">
        <f t="shared" si="0"/>
        <v>526214</v>
      </c>
      <c r="J9" s="34">
        <f t="shared" si="0"/>
        <v>389721</v>
      </c>
      <c r="K9" s="86">
        <f t="shared" si="0"/>
        <v>136493</v>
      </c>
      <c r="L9" s="333">
        <f>J9/C9</f>
        <v>0.3254455114822547</v>
      </c>
    </row>
    <row r="10" spans="1:12" ht="12.75">
      <c r="A10" s="1" t="s">
        <v>185</v>
      </c>
      <c r="B10" s="99"/>
      <c r="C10" s="12">
        <f>D10+E10+F10+G10</f>
        <v>0</v>
      </c>
      <c r="D10" s="12"/>
      <c r="E10" s="12"/>
      <c r="F10" s="12"/>
      <c r="G10" s="111"/>
      <c r="H10" s="12"/>
      <c r="I10" s="12"/>
      <c r="J10" s="12"/>
      <c r="K10" s="26">
        <f>H10-J10</f>
        <v>0</v>
      </c>
      <c r="L10" s="334"/>
    </row>
    <row r="11" spans="1:12" ht="12.75">
      <c r="A11" s="1" t="s">
        <v>186</v>
      </c>
      <c r="B11" s="63"/>
      <c r="C11" s="12">
        <f>D11+E11+F11+G11</f>
        <v>0</v>
      </c>
      <c r="D11" s="12"/>
      <c r="E11" s="12"/>
      <c r="F11" s="12"/>
      <c r="G11" s="111"/>
      <c r="H11" s="12"/>
      <c r="I11" s="12"/>
      <c r="J11" s="12"/>
      <c r="K11" s="26">
        <f>H11-J11</f>
        <v>0</v>
      </c>
      <c r="L11" s="334"/>
    </row>
    <row r="12" spans="1:12" ht="12.75">
      <c r="A12" s="1" t="s">
        <v>187</v>
      </c>
      <c r="B12" s="63"/>
      <c r="C12" s="12">
        <f>D12+E12+F12+G12</f>
        <v>0</v>
      </c>
      <c r="D12" s="12"/>
      <c r="E12" s="12"/>
      <c r="F12" s="12"/>
      <c r="G12" s="111"/>
      <c r="H12" s="12"/>
      <c r="I12" s="12"/>
      <c r="J12" s="12"/>
      <c r="K12" s="26">
        <f>H12-J12</f>
        <v>0</v>
      </c>
      <c r="L12" s="334"/>
    </row>
    <row r="13" spans="1:12" ht="12.75">
      <c r="A13" s="70" t="s">
        <v>190</v>
      </c>
      <c r="B13" s="98" t="s">
        <v>10</v>
      </c>
      <c r="C13" s="71">
        <v>1197500</v>
      </c>
      <c r="D13" s="71">
        <v>1000000</v>
      </c>
      <c r="E13" s="71">
        <v>700000</v>
      </c>
      <c r="F13" s="71">
        <v>436322</v>
      </c>
      <c r="G13" s="112">
        <v>160000</v>
      </c>
      <c r="H13" s="71">
        <v>526214</v>
      </c>
      <c r="I13" s="71">
        <v>526214</v>
      </c>
      <c r="J13" s="71">
        <v>389721</v>
      </c>
      <c r="K13" s="91">
        <f>H13-J13</f>
        <v>136493</v>
      </c>
      <c r="L13" s="335">
        <f>J13/C13</f>
        <v>0.3254455114822547</v>
      </c>
    </row>
    <row r="14" spans="1:12" ht="13.5" thickBot="1">
      <c r="A14" s="4" t="s">
        <v>189</v>
      </c>
      <c r="B14" s="63"/>
      <c r="C14" s="94"/>
      <c r="D14" s="94"/>
      <c r="E14" s="94"/>
      <c r="F14" s="94"/>
      <c r="G14" s="126"/>
      <c r="H14" s="94"/>
      <c r="I14" s="94"/>
      <c r="J14" s="94"/>
      <c r="K14" s="127">
        <f>H14-J14</f>
        <v>0</v>
      </c>
      <c r="L14" s="336"/>
    </row>
    <row r="15" spans="1:12" ht="13.5" thickBot="1">
      <c r="A15" s="424" t="s">
        <v>131</v>
      </c>
      <c r="B15" s="425"/>
      <c r="C15" s="425"/>
      <c r="D15" s="425"/>
      <c r="E15" s="425"/>
      <c r="F15" s="425"/>
      <c r="G15" s="425"/>
      <c r="H15" s="425"/>
      <c r="I15" s="425"/>
      <c r="J15" s="425"/>
      <c r="K15" s="426"/>
      <c r="L15" s="337"/>
    </row>
    <row r="16" spans="1:12" ht="12.75">
      <c r="A16" s="130" t="s">
        <v>132</v>
      </c>
      <c r="B16" s="100" t="s">
        <v>10</v>
      </c>
      <c r="C16" s="131">
        <f>C13</f>
        <v>1197500</v>
      </c>
      <c r="D16" s="131">
        <f aca="true" t="shared" si="1" ref="D16:K16">D13</f>
        <v>1000000</v>
      </c>
      <c r="E16" s="131">
        <f t="shared" si="1"/>
        <v>700000</v>
      </c>
      <c r="F16" s="131">
        <f t="shared" si="1"/>
        <v>436322</v>
      </c>
      <c r="G16" s="131">
        <f t="shared" si="1"/>
        <v>160000</v>
      </c>
      <c r="H16" s="131">
        <f t="shared" si="1"/>
        <v>526214</v>
      </c>
      <c r="I16" s="131">
        <f t="shared" si="1"/>
        <v>526214</v>
      </c>
      <c r="J16" s="131">
        <f>J13</f>
        <v>389721</v>
      </c>
      <c r="K16" s="132">
        <f t="shared" si="1"/>
        <v>136493</v>
      </c>
      <c r="L16" s="338">
        <f>J16/C16</f>
        <v>0.3254455114822547</v>
      </c>
    </row>
    <row r="17" spans="1:12" ht="12.75" hidden="1">
      <c r="A17" s="21" t="s">
        <v>134</v>
      </c>
      <c r="B17" s="79" t="s">
        <v>172</v>
      </c>
      <c r="C17" s="40">
        <f>C18+C19+C20+C21+C22</f>
        <v>0</v>
      </c>
      <c r="D17" s="40">
        <f aca="true" t="shared" si="2" ref="D17:K17">D18+D19+D20+D21+D22</f>
        <v>0</v>
      </c>
      <c r="E17" s="40">
        <f t="shared" si="2"/>
        <v>6000</v>
      </c>
      <c r="F17" s="40">
        <f t="shared" si="2"/>
        <v>0</v>
      </c>
      <c r="G17" s="40">
        <f t="shared" si="2"/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87">
        <f t="shared" si="2"/>
        <v>0</v>
      </c>
      <c r="L17" s="339"/>
    </row>
    <row r="18" spans="1:12" ht="12.75" hidden="1">
      <c r="A18" s="14" t="s">
        <v>185</v>
      </c>
      <c r="B18" s="459" t="s">
        <v>13</v>
      </c>
      <c r="C18" s="15">
        <f>D18+E18+F18+G18</f>
        <v>0</v>
      </c>
      <c r="D18" s="15"/>
      <c r="E18" s="15"/>
      <c r="F18" s="15"/>
      <c r="G18" s="113"/>
      <c r="H18" s="12"/>
      <c r="I18" s="12"/>
      <c r="J18" s="12"/>
      <c r="K18" s="26">
        <f>H18-J18</f>
        <v>0</v>
      </c>
      <c r="L18" s="340"/>
    </row>
    <row r="19" spans="1:12" ht="12.75" hidden="1">
      <c r="A19" s="1" t="s">
        <v>186</v>
      </c>
      <c r="B19" s="460"/>
      <c r="C19" s="12">
        <f>D19+E19+F19+G19</f>
        <v>0</v>
      </c>
      <c r="D19" s="12"/>
      <c r="E19" s="12"/>
      <c r="F19" s="12"/>
      <c r="G19" s="111"/>
      <c r="H19" s="12"/>
      <c r="I19" s="12"/>
      <c r="J19" s="12"/>
      <c r="K19" s="26">
        <f>H19-J19</f>
        <v>0</v>
      </c>
      <c r="L19" s="334"/>
    </row>
    <row r="20" spans="1:12" ht="12.75" hidden="1">
      <c r="A20" s="1" t="s">
        <v>187</v>
      </c>
      <c r="B20" s="460"/>
      <c r="C20" s="12">
        <f>D20+E20+F20+G20</f>
        <v>0</v>
      </c>
      <c r="D20" s="12"/>
      <c r="E20" s="12"/>
      <c r="F20" s="12"/>
      <c r="G20" s="111"/>
      <c r="H20" s="12"/>
      <c r="I20" s="12"/>
      <c r="J20" s="12"/>
      <c r="K20" s="26">
        <f>H20-J20</f>
        <v>0</v>
      </c>
      <c r="L20" s="334"/>
    </row>
    <row r="21" spans="1:12" ht="12.75" hidden="1">
      <c r="A21" s="70" t="s">
        <v>188</v>
      </c>
      <c r="B21" s="460"/>
      <c r="C21" s="71">
        <v>0</v>
      </c>
      <c r="D21" s="71">
        <v>0</v>
      </c>
      <c r="E21" s="71">
        <v>6000</v>
      </c>
      <c r="F21" s="71"/>
      <c r="G21" s="112"/>
      <c r="H21" s="71">
        <v>0</v>
      </c>
      <c r="I21" s="71">
        <v>0</v>
      </c>
      <c r="J21" s="71">
        <v>0</v>
      </c>
      <c r="K21" s="91">
        <f>H21-J21</f>
        <v>0</v>
      </c>
      <c r="L21" s="335"/>
    </row>
    <row r="22" spans="1:12" ht="12.75" hidden="1">
      <c r="A22" s="4" t="s">
        <v>189</v>
      </c>
      <c r="B22" s="460"/>
      <c r="C22" s="94"/>
      <c r="D22" s="94"/>
      <c r="E22" s="94"/>
      <c r="F22" s="94"/>
      <c r="G22" s="126"/>
      <c r="H22" s="94"/>
      <c r="I22" s="94"/>
      <c r="J22" s="94"/>
      <c r="K22" s="127">
        <f>H22-J22</f>
        <v>0</v>
      </c>
      <c r="L22" s="336"/>
    </row>
    <row r="23" spans="1:12" ht="13.5" hidden="1" thickBot="1">
      <c r="A23" s="440" t="s">
        <v>131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2"/>
      <c r="L23" s="341"/>
    </row>
    <row r="24" spans="1:12" ht="12.75" hidden="1">
      <c r="A24" s="128" t="s">
        <v>133</v>
      </c>
      <c r="B24" s="125" t="s">
        <v>13</v>
      </c>
      <c r="C24" s="129">
        <f>C21</f>
        <v>0</v>
      </c>
      <c r="D24" s="129">
        <f aca="true" t="shared" si="3" ref="D24:K24">D21</f>
        <v>0</v>
      </c>
      <c r="E24" s="129">
        <f t="shared" si="3"/>
        <v>6000</v>
      </c>
      <c r="F24" s="129">
        <f t="shared" si="3"/>
        <v>0</v>
      </c>
      <c r="G24" s="129">
        <f t="shared" si="3"/>
        <v>0</v>
      </c>
      <c r="H24" s="129">
        <f t="shared" si="3"/>
        <v>0</v>
      </c>
      <c r="I24" s="129">
        <f t="shared" si="3"/>
        <v>0</v>
      </c>
      <c r="J24" s="129">
        <f t="shared" si="3"/>
        <v>0</v>
      </c>
      <c r="K24" s="138">
        <f t="shared" si="3"/>
        <v>0</v>
      </c>
      <c r="L24" s="342"/>
    </row>
    <row r="25" spans="1:12" ht="12.75">
      <c r="A25" s="8" t="s">
        <v>135</v>
      </c>
      <c r="B25" s="33" t="s">
        <v>172</v>
      </c>
      <c r="C25" s="35">
        <f>C28+C29</f>
        <v>212500</v>
      </c>
      <c r="D25" s="35">
        <f aca="true" t="shared" si="4" ref="D25:K25">D28+D29</f>
        <v>212500</v>
      </c>
      <c r="E25" s="35">
        <f t="shared" si="4"/>
        <v>0</v>
      </c>
      <c r="F25" s="35">
        <f t="shared" si="4"/>
        <v>0</v>
      </c>
      <c r="G25" s="35">
        <f t="shared" si="4"/>
        <v>0</v>
      </c>
      <c r="H25" s="35">
        <f t="shared" si="4"/>
        <v>159845</v>
      </c>
      <c r="I25" s="35">
        <f t="shared" si="4"/>
        <v>159845</v>
      </c>
      <c r="J25" s="35">
        <f t="shared" si="4"/>
        <v>159845</v>
      </c>
      <c r="K25" s="88">
        <f t="shared" si="4"/>
        <v>0</v>
      </c>
      <c r="L25" s="343">
        <f>J25/C25</f>
        <v>0.7522117647058824</v>
      </c>
    </row>
    <row r="26" spans="1:12" ht="12.75">
      <c r="A26" s="1" t="s">
        <v>185</v>
      </c>
      <c r="B26" s="99"/>
      <c r="C26" s="12">
        <f>D26+E26+F26+G26</f>
        <v>0</v>
      </c>
      <c r="D26" s="12"/>
      <c r="E26" s="12"/>
      <c r="F26" s="12"/>
      <c r="G26" s="111"/>
      <c r="H26" s="12"/>
      <c r="I26" s="12"/>
      <c r="J26" s="12"/>
      <c r="K26" s="26">
        <f>H26-J26</f>
        <v>0</v>
      </c>
      <c r="L26" s="334"/>
    </row>
    <row r="27" spans="1:12" ht="12.75">
      <c r="A27" s="1" t="s">
        <v>186</v>
      </c>
      <c r="B27" s="63"/>
      <c r="C27" s="94">
        <f>D27+E27+F27+G27</f>
        <v>0</v>
      </c>
      <c r="D27" s="12"/>
      <c r="E27" s="12"/>
      <c r="F27" s="12"/>
      <c r="G27" s="111"/>
      <c r="H27" s="12"/>
      <c r="I27" s="12"/>
      <c r="J27" s="12"/>
      <c r="K27" s="26">
        <f>H27-J27</f>
        <v>0</v>
      </c>
      <c r="L27" s="334"/>
    </row>
    <row r="28" spans="1:12" ht="12.75">
      <c r="A28" s="69" t="s">
        <v>187</v>
      </c>
      <c r="B28" s="78" t="s">
        <v>23</v>
      </c>
      <c r="C28" s="13"/>
      <c r="D28" s="13"/>
      <c r="E28" s="13"/>
      <c r="F28" s="13"/>
      <c r="G28" s="114"/>
      <c r="H28" s="13"/>
      <c r="I28" s="13"/>
      <c r="J28" s="13"/>
      <c r="K28" s="89">
        <f>H28-J28</f>
        <v>0</v>
      </c>
      <c r="L28" s="344"/>
    </row>
    <row r="29" spans="1:12" ht="12.75">
      <c r="A29" s="430" t="s">
        <v>231</v>
      </c>
      <c r="B29" s="96"/>
      <c r="C29" s="97">
        <f>C30+C31+C32</f>
        <v>212500</v>
      </c>
      <c r="D29" s="97">
        <f aca="true" t="shared" si="5" ref="D29:K29">D30+D31+D32</f>
        <v>212500</v>
      </c>
      <c r="E29" s="97">
        <f t="shared" si="5"/>
        <v>0</v>
      </c>
      <c r="F29" s="97">
        <f t="shared" si="5"/>
        <v>0</v>
      </c>
      <c r="G29" s="97">
        <f t="shared" si="5"/>
        <v>0</v>
      </c>
      <c r="H29" s="97">
        <f t="shared" si="5"/>
        <v>159845</v>
      </c>
      <c r="I29" s="97">
        <f t="shared" si="5"/>
        <v>159845</v>
      </c>
      <c r="J29" s="97">
        <f t="shared" si="5"/>
        <v>159845</v>
      </c>
      <c r="K29" s="318">
        <f t="shared" si="5"/>
        <v>0</v>
      </c>
      <c r="L29" s="345">
        <f>J29/C29</f>
        <v>0.7522117647058824</v>
      </c>
    </row>
    <row r="30" spans="1:12" ht="12.75">
      <c r="A30" s="431"/>
      <c r="B30" s="80" t="s">
        <v>21</v>
      </c>
      <c r="C30" s="95">
        <v>107500</v>
      </c>
      <c r="D30" s="95">
        <v>107500</v>
      </c>
      <c r="E30" s="12"/>
      <c r="F30" s="12"/>
      <c r="G30" s="111"/>
      <c r="H30" s="12">
        <v>92348</v>
      </c>
      <c r="I30" s="12">
        <v>92348</v>
      </c>
      <c r="J30" s="12">
        <v>92348</v>
      </c>
      <c r="K30" s="111">
        <f>H30-J30</f>
        <v>0</v>
      </c>
      <c r="L30" s="346">
        <f>J30/C30</f>
        <v>0.8590511627906977</v>
      </c>
    </row>
    <row r="31" spans="1:12" ht="12.75">
      <c r="A31" s="431"/>
      <c r="B31" s="80" t="s">
        <v>22</v>
      </c>
      <c r="C31" s="95">
        <v>105000</v>
      </c>
      <c r="D31" s="12">
        <v>105000</v>
      </c>
      <c r="E31" s="12"/>
      <c r="F31" s="12"/>
      <c r="G31" s="111"/>
      <c r="H31" s="12">
        <v>67497</v>
      </c>
      <c r="I31" s="12">
        <v>67497</v>
      </c>
      <c r="J31" s="12">
        <v>67497</v>
      </c>
      <c r="K31" s="111">
        <f>H31-J31</f>
        <v>0</v>
      </c>
      <c r="L31" s="346">
        <f>J31/C31</f>
        <v>0.6428285714285714</v>
      </c>
    </row>
    <row r="32" spans="1:12" ht="12.75">
      <c r="A32" s="431"/>
      <c r="B32" s="80" t="s">
        <v>23</v>
      </c>
      <c r="C32" s="95"/>
      <c r="D32" s="12"/>
      <c r="E32" s="12"/>
      <c r="F32" s="12"/>
      <c r="G32" s="111"/>
      <c r="H32" s="12"/>
      <c r="I32" s="12"/>
      <c r="J32" s="12"/>
      <c r="K32" s="111">
        <f>H32-J32</f>
        <v>0</v>
      </c>
      <c r="L32" s="346"/>
    </row>
    <row r="33" spans="1:12" ht="12.75" customHeight="1" hidden="1">
      <c r="A33" s="432"/>
      <c r="B33" s="80"/>
      <c r="C33" s="95"/>
      <c r="D33" s="12"/>
      <c r="E33" s="12"/>
      <c r="F33" s="12"/>
      <c r="G33" s="111"/>
      <c r="H33" s="12"/>
      <c r="I33" s="12"/>
      <c r="J33" s="12"/>
      <c r="K33" s="111">
        <f>H33-J33</f>
        <v>0</v>
      </c>
      <c r="L33" s="345"/>
    </row>
    <row r="34" spans="1:12" ht="13.5" thickBot="1">
      <c r="A34" s="4" t="s">
        <v>189</v>
      </c>
      <c r="B34" s="63"/>
      <c r="C34" s="94"/>
      <c r="D34" s="94"/>
      <c r="E34" s="94"/>
      <c r="F34" s="94"/>
      <c r="G34" s="126"/>
      <c r="H34" s="94"/>
      <c r="I34" s="94"/>
      <c r="J34" s="94"/>
      <c r="K34" s="127"/>
      <c r="L34" s="336"/>
    </row>
    <row r="35" spans="1:12" ht="13.5" thickBot="1">
      <c r="A35" s="424" t="s">
        <v>131</v>
      </c>
      <c r="B35" s="425"/>
      <c r="C35" s="425"/>
      <c r="D35" s="425"/>
      <c r="E35" s="425"/>
      <c r="F35" s="425"/>
      <c r="G35" s="425"/>
      <c r="H35" s="425"/>
      <c r="I35" s="425"/>
      <c r="J35" s="425"/>
      <c r="K35" s="426"/>
      <c r="L35" s="337"/>
    </row>
    <row r="36" spans="1:12" ht="12.75">
      <c r="A36" s="133"/>
      <c r="B36" s="100" t="s">
        <v>172</v>
      </c>
      <c r="C36" s="131"/>
      <c r="D36" s="131"/>
      <c r="E36" s="131"/>
      <c r="F36" s="131"/>
      <c r="G36" s="134"/>
      <c r="H36" s="131"/>
      <c r="I36" s="131"/>
      <c r="J36" s="131"/>
      <c r="K36" s="132"/>
      <c r="L36" s="347"/>
    </row>
    <row r="37" spans="1:12" ht="12.75">
      <c r="A37" s="6" t="s">
        <v>17</v>
      </c>
      <c r="B37" s="78" t="s">
        <v>21</v>
      </c>
      <c r="C37" s="13">
        <f>C30</f>
        <v>107500</v>
      </c>
      <c r="D37" s="13">
        <f aca="true" t="shared" si="6" ref="D37:K37">D30</f>
        <v>107500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92348</v>
      </c>
      <c r="I37" s="13">
        <f t="shared" si="6"/>
        <v>92348</v>
      </c>
      <c r="J37" s="13">
        <f t="shared" si="6"/>
        <v>92348</v>
      </c>
      <c r="K37" s="89">
        <f t="shared" si="6"/>
        <v>0</v>
      </c>
      <c r="L37" s="348">
        <f>J37/C37</f>
        <v>0.8590511627906977</v>
      </c>
    </row>
    <row r="38" spans="1:12" ht="12.75">
      <c r="A38" s="6" t="s">
        <v>19</v>
      </c>
      <c r="B38" s="78" t="s">
        <v>22</v>
      </c>
      <c r="C38" s="13">
        <f>C31</f>
        <v>105000</v>
      </c>
      <c r="D38" s="13">
        <f aca="true" t="shared" si="7" ref="D38:K38">D31</f>
        <v>105000</v>
      </c>
      <c r="E38" s="13">
        <f t="shared" si="7"/>
        <v>0</v>
      </c>
      <c r="F38" s="13">
        <f t="shared" si="7"/>
        <v>0</v>
      </c>
      <c r="G38" s="13">
        <f t="shared" si="7"/>
        <v>0</v>
      </c>
      <c r="H38" s="13">
        <f t="shared" si="7"/>
        <v>67497</v>
      </c>
      <c r="I38" s="13">
        <f t="shared" si="7"/>
        <v>67497</v>
      </c>
      <c r="J38" s="13">
        <f t="shared" si="7"/>
        <v>67497</v>
      </c>
      <c r="K38" s="89">
        <f t="shared" si="7"/>
        <v>0</v>
      </c>
      <c r="L38" s="348">
        <f>J38/C38</f>
        <v>0.6428285714285714</v>
      </c>
    </row>
    <row r="39" spans="1:12" ht="12.75">
      <c r="A39" s="5" t="s">
        <v>20</v>
      </c>
      <c r="B39" s="78" t="s">
        <v>23</v>
      </c>
      <c r="C39" s="13">
        <f>C28+C32</f>
        <v>0</v>
      </c>
      <c r="D39" s="13">
        <f aca="true" t="shared" si="8" ref="D39:K39">D28+D32</f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89">
        <f t="shared" si="8"/>
        <v>0</v>
      </c>
      <c r="L39" s="349"/>
    </row>
    <row r="40" spans="1:12" ht="12.75">
      <c r="A40" s="21" t="s">
        <v>136</v>
      </c>
      <c r="B40" s="33" t="s">
        <v>172</v>
      </c>
      <c r="C40" s="40">
        <f aca="true" t="shared" si="9" ref="C40:K40">C43+C45</f>
        <v>2294475</v>
      </c>
      <c r="D40" s="40">
        <f t="shared" si="9"/>
        <v>2163388</v>
      </c>
      <c r="E40" s="40">
        <f t="shared" si="9"/>
        <v>0</v>
      </c>
      <c r="F40" s="40">
        <f t="shared" si="9"/>
        <v>0</v>
      </c>
      <c r="G40" s="40">
        <f t="shared" si="9"/>
        <v>0</v>
      </c>
      <c r="H40" s="40">
        <f t="shared" si="9"/>
        <v>3871731</v>
      </c>
      <c r="I40" s="40">
        <f t="shared" si="9"/>
        <v>1641731</v>
      </c>
      <c r="J40" s="40">
        <f t="shared" si="9"/>
        <v>987409</v>
      </c>
      <c r="K40" s="87">
        <f t="shared" si="9"/>
        <v>654322</v>
      </c>
      <c r="L40" s="370">
        <f>J40/C40</f>
        <v>0.43034201723705856</v>
      </c>
    </row>
    <row r="41" spans="1:12" ht="12.75">
      <c r="A41" s="1" t="s">
        <v>185</v>
      </c>
      <c r="B41" s="102"/>
      <c r="C41" s="12">
        <f>D41+E41+F41+G41</f>
        <v>0</v>
      </c>
      <c r="D41" s="12"/>
      <c r="E41" s="12"/>
      <c r="F41" s="12"/>
      <c r="G41" s="111"/>
      <c r="H41" s="12"/>
      <c r="I41" s="12"/>
      <c r="J41" s="12"/>
      <c r="K41" s="26">
        <f>H41-J41</f>
        <v>0</v>
      </c>
      <c r="L41" s="334"/>
    </row>
    <row r="42" spans="1:12" ht="12.75">
      <c r="A42" s="1" t="s">
        <v>186</v>
      </c>
      <c r="B42" s="102"/>
      <c r="C42" s="12">
        <f>D42+E42+F42+G42</f>
        <v>0</v>
      </c>
      <c r="D42" s="12"/>
      <c r="E42" s="12"/>
      <c r="F42" s="12"/>
      <c r="G42" s="111"/>
      <c r="H42" s="12"/>
      <c r="I42" s="12"/>
      <c r="J42" s="12"/>
      <c r="K42" s="26">
        <f>H42-J42</f>
        <v>0</v>
      </c>
      <c r="L42" s="334"/>
    </row>
    <row r="43" spans="1:12" ht="12.75">
      <c r="A43" s="434" t="s">
        <v>250</v>
      </c>
      <c r="B43" s="65" t="s">
        <v>172</v>
      </c>
      <c r="C43" s="13">
        <f>C44</f>
        <v>0</v>
      </c>
      <c r="D43" s="13">
        <f aca="true" t="shared" si="10" ref="D43:K43">D44</f>
        <v>0</v>
      </c>
      <c r="E43" s="13">
        <f t="shared" si="10"/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89">
        <f t="shared" si="10"/>
        <v>0</v>
      </c>
      <c r="L43" s="350"/>
    </row>
    <row r="44" spans="1:12" ht="24.75" customHeight="1">
      <c r="A44" s="435"/>
      <c r="B44" s="55" t="s">
        <v>252</v>
      </c>
      <c r="C44" s="12"/>
      <c r="D44" s="12"/>
      <c r="E44" s="12"/>
      <c r="F44" s="12"/>
      <c r="G44" s="111"/>
      <c r="H44" s="12"/>
      <c r="I44" s="12"/>
      <c r="J44" s="12"/>
      <c r="K44" s="111">
        <f>H44-J44</f>
        <v>0</v>
      </c>
      <c r="L44" s="346"/>
    </row>
    <row r="45" spans="1:12" ht="12.75">
      <c r="A45" s="446" t="s">
        <v>232</v>
      </c>
      <c r="B45" s="101"/>
      <c r="C45" s="71">
        <f>C46+C48+C49+C50+C47</f>
        <v>2294475</v>
      </c>
      <c r="D45" s="71">
        <f aca="true" t="shared" si="11" ref="D45:K45">D46+D48+D49+D50+D47</f>
        <v>2163388</v>
      </c>
      <c r="E45" s="71">
        <f t="shared" si="11"/>
        <v>0</v>
      </c>
      <c r="F45" s="71">
        <f t="shared" si="11"/>
        <v>0</v>
      </c>
      <c r="G45" s="71">
        <f t="shared" si="11"/>
        <v>0</v>
      </c>
      <c r="H45" s="71">
        <f t="shared" si="11"/>
        <v>3871731</v>
      </c>
      <c r="I45" s="71">
        <f t="shared" si="11"/>
        <v>1641731</v>
      </c>
      <c r="J45" s="71">
        <f t="shared" si="11"/>
        <v>987409</v>
      </c>
      <c r="K45" s="112">
        <f t="shared" si="11"/>
        <v>654322</v>
      </c>
      <c r="L45" s="345">
        <f>J45/C45</f>
        <v>0.43034201723705856</v>
      </c>
    </row>
    <row r="46" spans="1:12" ht="12.75">
      <c r="A46" s="447"/>
      <c r="B46" s="123" t="s">
        <v>33</v>
      </c>
      <c r="C46" s="51">
        <v>304888</v>
      </c>
      <c r="D46" s="51">
        <v>304888</v>
      </c>
      <c r="E46" s="51"/>
      <c r="F46" s="51"/>
      <c r="G46" s="124"/>
      <c r="H46" s="51">
        <v>20322</v>
      </c>
      <c r="I46" s="51">
        <v>20322</v>
      </c>
      <c r="J46" s="51">
        <v>20322</v>
      </c>
      <c r="K46" s="124"/>
      <c r="L46" s="346">
        <f>J46/C46</f>
        <v>0.06665398441394872</v>
      </c>
    </row>
    <row r="47" spans="1:12" ht="12.75">
      <c r="A47" s="447"/>
      <c r="B47" s="123" t="s">
        <v>218</v>
      </c>
      <c r="C47" s="51">
        <v>0</v>
      </c>
      <c r="D47" s="51">
        <v>0</v>
      </c>
      <c r="E47" s="51"/>
      <c r="F47" s="51"/>
      <c r="G47" s="124"/>
      <c r="H47" s="51">
        <v>0</v>
      </c>
      <c r="I47" s="51">
        <v>0</v>
      </c>
      <c r="J47" s="51">
        <v>0</v>
      </c>
      <c r="K47" s="124"/>
      <c r="L47" s="346"/>
    </row>
    <row r="48" spans="1:12" ht="12.75">
      <c r="A48" s="447"/>
      <c r="B48" s="102" t="s">
        <v>198</v>
      </c>
      <c r="C48" s="12">
        <v>100500</v>
      </c>
      <c r="D48" s="12">
        <v>100500</v>
      </c>
      <c r="E48" s="12"/>
      <c r="F48" s="12"/>
      <c r="G48" s="111"/>
      <c r="H48" s="12">
        <v>0</v>
      </c>
      <c r="I48" s="12">
        <v>0</v>
      </c>
      <c r="J48" s="12">
        <v>0</v>
      </c>
      <c r="K48" s="111">
        <f>H48-J48</f>
        <v>0</v>
      </c>
      <c r="L48" s="346">
        <f>J48/C48</f>
        <v>0</v>
      </c>
    </row>
    <row r="49" spans="1:12" ht="12.75">
      <c r="A49" s="447"/>
      <c r="B49" s="102" t="s">
        <v>34</v>
      </c>
      <c r="C49" s="12">
        <v>258000</v>
      </c>
      <c r="D49" s="12">
        <v>258000</v>
      </c>
      <c r="E49" s="12"/>
      <c r="F49" s="12"/>
      <c r="G49" s="111"/>
      <c r="H49" s="12">
        <v>2471058</v>
      </c>
      <c r="I49" s="12">
        <v>241058</v>
      </c>
      <c r="J49" s="12">
        <v>241058</v>
      </c>
      <c r="K49" s="111"/>
      <c r="L49" s="346">
        <f>J49/C49</f>
        <v>0.9343333333333333</v>
      </c>
    </row>
    <row r="50" spans="1:12" ht="12.75">
      <c r="A50" s="448"/>
      <c r="B50" s="102" t="s">
        <v>35</v>
      </c>
      <c r="C50" s="12">
        <v>1631087</v>
      </c>
      <c r="D50" s="12">
        <v>1500000</v>
      </c>
      <c r="E50" s="12"/>
      <c r="F50" s="12"/>
      <c r="G50" s="111"/>
      <c r="H50" s="12">
        <v>1380351</v>
      </c>
      <c r="I50" s="12">
        <v>1380351</v>
      </c>
      <c r="J50" s="12">
        <v>726029</v>
      </c>
      <c r="K50" s="111">
        <f>H50-J50</f>
        <v>654322</v>
      </c>
      <c r="L50" s="346">
        <f>J50/C50</f>
        <v>0.44511972690604484</v>
      </c>
    </row>
    <row r="51" spans="1:12" ht="13.5" thickBot="1">
      <c r="A51" s="4" t="s">
        <v>189</v>
      </c>
      <c r="B51" s="103"/>
      <c r="C51" s="94"/>
      <c r="D51" s="94"/>
      <c r="E51" s="94"/>
      <c r="F51" s="94"/>
      <c r="G51" s="126"/>
      <c r="H51" s="94"/>
      <c r="I51" s="94"/>
      <c r="J51" s="94"/>
      <c r="K51" s="127">
        <f>H51-J51</f>
        <v>0</v>
      </c>
      <c r="L51" s="336"/>
    </row>
    <row r="52" spans="1:12" ht="13.5" thickBot="1">
      <c r="A52" s="424" t="s">
        <v>131</v>
      </c>
      <c r="B52" s="425"/>
      <c r="C52" s="425"/>
      <c r="D52" s="425"/>
      <c r="E52" s="425"/>
      <c r="F52" s="425"/>
      <c r="G52" s="425"/>
      <c r="H52" s="425"/>
      <c r="I52" s="425"/>
      <c r="J52" s="425"/>
      <c r="K52" s="426"/>
      <c r="L52" s="337"/>
    </row>
    <row r="53" spans="1:12" ht="12.75">
      <c r="A53" s="130" t="s">
        <v>229</v>
      </c>
      <c r="B53" s="110" t="s">
        <v>33</v>
      </c>
      <c r="C53" s="131">
        <f>C46</f>
        <v>304888</v>
      </c>
      <c r="D53" s="131">
        <f aca="true" t="shared" si="12" ref="D53:J53">D46</f>
        <v>304888</v>
      </c>
      <c r="E53" s="131">
        <f t="shared" si="12"/>
        <v>0</v>
      </c>
      <c r="F53" s="131">
        <f t="shared" si="12"/>
        <v>0</v>
      </c>
      <c r="G53" s="131">
        <f t="shared" si="12"/>
        <v>0</v>
      </c>
      <c r="H53" s="131">
        <f t="shared" si="12"/>
        <v>20322</v>
      </c>
      <c r="I53" s="131">
        <f t="shared" si="12"/>
        <v>20322</v>
      </c>
      <c r="J53" s="131">
        <f t="shared" si="12"/>
        <v>20322</v>
      </c>
      <c r="K53" s="132">
        <f>H53-J53</f>
        <v>0</v>
      </c>
      <c r="L53" s="338">
        <f>J53/C53</f>
        <v>0.06665398441394872</v>
      </c>
    </row>
    <row r="54" spans="1:12" ht="12.75">
      <c r="A54" s="130" t="s">
        <v>240</v>
      </c>
      <c r="B54" s="110" t="s">
        <v>218</v>
      </c>
      <c r="C54" s="131">
        <f>C47</f>
        <v>0</v>
      </c>
      <c r="D54" s="131">
        <f aca="true" t="shared" si="13" ref="D54:K54">D47</f>
        <v>0</v>
      </c>
      <c r="E54" s="131">
        <f t="shared" si="13"/>
        <v>0</v>
      </c>
      <c r="F54" s="131">
        <f t="shared" si="13"/>
        <v>0</v>
      </c>
      <c r="G54" s="131">
        <f t="shared" si="13"/>
        <v>0</v>
      </c>
      <c r="H54" s="131">
        <f t="shared" si="13"/>
        <v>0</v>
      </c>
      <c r="I54" s="131">
        <f t="shared" si="13"/>
        <v>0</v>
      </c>
      <c r="J54" s="131">
        <f t="shared" si="13"/>
        <v>0</v>
      </c>
      <c r="K54" s="132">
        <f t="shared" si="13"/>
        <v>0</v>
      </c>
      <c r="L54" s="338"/>
    </row>
    <row r="55" spans="1:12" ht="12.75">
      <c r="A55" s="20" t="s">
        <v>230</v>
      </c>
      <c r="B55" s="102" t="s">
        <v>198</v>
      </c>
      <c r="C55" s="13">
        <f>C48</f>
        <v>100500</v>
      </c>
      <c r="D55" s="13">
        <f aca="true" t="shared" si="14" ref="D55:K55">D48</f>
        <v>100500</v>
      </c>
      <c r="E55" s="13">
        <f t="shared" si="14"/>
        <v>0</v>
      </c>
      <c r="F55" s="13">
        <f t="shared" si="14"/>
        <v>0</v>
      </c>
      <c r="G55" s="13">
        <f t="shared" si="14"/>
        <v>0</v>
      </c>
      <c r="H55" s="13">
        <f t="shared" si="14"/>
        <v>0</v>
      </c>
      <c r="I55" s="13">
        <f t="shared" si="14"/>
        <v>0</v>
      </c>
      <c r="J55" s="13">
        <f t="shared" si="14"/>
        <v>0</v>
      </c>
      <c r="K55" s="13">
        <f t="shared" si="14"/>
        <v>0</v>
      </c>
      <c r="L55" s="338">
        <f>J55/C55</f>
        <v>0</v>
      </c>
    </row>
    <row r="56" spans="1:12" ht="12.75">
      <c r="A56" s="20" t="s">
        <v>137</v>
      </c>
      <c r="B56" s="102" t="s">
        <v>34</v>
      </c>
      <c r="C56" s="13">
        <f>C49+C43</f>
        <v>258000</v>
      </c>
      <c r="D56" s="13">
        <f aca="true" t="shared" si="15" ref="D56:K56">D49+D43</f>
        <v>258000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2471058</v>
      </c>
      <c r="I56" s="13">
        <f t="shared" si="15"/>
        <v>241058</v>
      </c>
      <c r="J56" s="13">
        <f t="shared" si="15"/>
        <v>241058</v>
      </c>
      <c r="K56" s="13">
        <f t="shared" si="15"/>
        <v>0</v>
      </c>
      <c r="L56" s="338">
        <f>J56/C56</f>
        <v>0.9343333333333333</v>
      </c>
    </row>
    <row r="57" spans="1:12" ht="13.5" thickBot="1">
      <c r="A57" s="16" t="s">
        <v>138</v>
      </c>
      <c r="B57" s="103" t="s">
        <v>35</v>
      </c>
      <c r="C57" s="17">
        <f>C50</f>
        <v>1631087</v>
      </c>
      <c r="D57" s="17">
        <f aca="true" t="shared" si="16" ref="D57:K57">D50</f>
        <v>1500000</v>
      </c>
      <c r="E57" s="17">
        <f t="shared" si="16"/>
        <v>0</v>
      </c>
      <c r="F57" s="17">
        <f t="shared" si="16"/>
        <v>0</v>
      </c>
      <c r="G57" s="17">
        <f t="shared" si="16"/>
        <v>0</v>
      </c>
      <c r="H57" s="17">
        <f t="shared" si="16"/>
        <v>1380351</v>
      </c>
      <c r="I57" s="17">
        <f t="shared" si="16"/>
        <v>1380351</v>
      </c>
      <c r="J57" s="17">
        <f t="shared" si="16"/>
        <v>726029</v>
      </c>
      <c r="K57" s="90">
        <f t="shared" si="16"/>
        <v>654322</v>
      </c>
      <c r="L57" s="338">
        <f>J57/C57</f>
        <v>0.44511972690604484</v>
      </c>
    </row>
    <row r="58" spans="1:12" s="46" customFormat="1" ht="13.5" thickBot="1">
      <c r="A58" s="74" t="s">
        <v>139</v>
      </c>
      <c r="B58" s="75" t="s">
        <v>172</v>
      </c>
      <c r="C58" s="76">
        <f>C59+C60+C61+C62+C63</f>
        <v>370000</v>
      </c>
      <c r="D58" s="76">
        <f aca="true" t="shared" si="17" ref="D58:K58">D59+D60+D61+D62+D63</f>
        <v>370000</v>
      </c>
      <c r="E58" s="76">
        <f t="shared" si="17"/>
        <v>400000</v>
      </c>
      <c r="F58" s="76">
        <f t="shared" si="17"/>
        <v>0</v>
      </c>
      <c r="G58" s="76">
        <f t="shared" si="17"/>
        <v>0</v>
      </c>
      <c r="H58" s="76">
        <f t="shared" si="17"/>
        <v>370000</v>
      </c>
      <c r="I58" s="76">
        <f t="shared" si="17"/>
        <v>370000</v>
      </c>
      <c r="J58" s="76">
        <f t="shared" si="17"/>
        <v>0</v>
      </c>
      <c r="K58" s="77">
        <f t="shared" si="17"/>
        <v>370000</v>
      </c>
      <c r="L58" s="352"/>
    </row>
    <row r="59" spans="1:12" ht="12.75">
      <c r="A59" s="72" t="s">
        <v>185</v>
      </c>
      <c r="B59" s="104" t="s">
        <v>32</v>
      </c>
      <c r="C59" s="73">
        <v>370000</v>
      </c>
      <c r="D59" s="73">
        <v>370000</v>
      </c>
      <c r="E59" s="73">
        <v>400000</v>
      </c>
      <c r="F59" s="73"/>
      <c r="G59" s="115"/>
      <c r="H59" s="73">
        <v>370000</v>
      </c>
      <c r="I59" s="73">
        <v>370000</v>
      </c>
      <c r="J59" s="73"/>
      <c r="K59" s="116">
        <f>H59-J59</f>
        <v>370000</v>
      </c>
      <c r="L59" s="353"/>
    </row>
    <row r="60" spans="1:12" ht="12.75">
      <c r="A60" s="1" t="s">
        <v>186</v>
      </c>
      <c r="B60" s="80"/>
      <c r="C60" s="12">
        <f>D60+E60+F60+G60</f>
        <v>0</v>
      </c>
      <c r="D60" s="12"/>
      <c r="E60" s="12"/>
      <c r="F60" s="12"/>
      <c r="G60" s="111"/>
      <c r="H60" s="12"/>
      <c r="I60" s="12"/>
      <c r="J60" s="12"/>
      <c r="K60" s="26">
        <f>H60-J60</f>
        <v>0</v>
      </c>
      <c r="L60" s="334"/>
    </row>
    <row r="61" spans="1:12" ht="12.75">
      <c r="A61" s="1" t="s">
        <v>187</v>
      </c>
      <c r="B61" s="80"/>
      <c r="C61" s="12">
        <f>D61+E61+F61+G61</f>
        <v>0</v>
      </c>
      <c r="D61" s="12"/>
      <c r="E61" s="12"/>
      <c r="F61" s="12"/>
      <c r="G61" s="111"/>
      <c r="H61" s="12"/>
      <c r="I61" s="12"/>
      <c r="J61" s="12"/>
      <c r="K61" s="26">
        <f>H61-J61</f>
        <v>0</v>
      </c>
      <c r="L61" s="334"/>
    </row>
    <row r="62" spans="1:12" ht="12.75">
      <c r="A62" s="1" t="s">
        <v>188</v>
      </c>
      <c r="B62" s="80"/>
      <c r="C62" s="12"/>
      <c r="D62" s="12"/>
      <c r="E62" s="12"/>
      <c r="F62" s="12"/>
      <c r="G62" s="111"/>
      <c r="H62" s="12"/>
      <c r="I62" s="12"/>
      <c r="J62" s="12"/>
      <c r="K62" s="26">
        <f>H62-J62</f>
        <v>0</v>
      </c>
      <c r="L62" s="334"/>
    </row>
    <row r="63" spans="1:12" ht="12.75">
      <c r="A63" s="1" t="s">
        <v>189</v>
      </c>
      <c r="B63" s="80"/>
      <c r="C63" s="12"/>
      <c r="D63" s="12"/>
      <c r="E63" s="12"/>
      <c r="F63" s="12"/>
      <c r="G63" s="111"/>
      <c r="H63" s="12"/>
      <c r="I63" s="12"/>
      <c r="J63" s="12"/>
      <c r="K63" s="26">
        <f>H63-J63</f>
        <v>0</v>
      </c>
      <c r="L63" s="334"/>
    </row>
    <row r="64" spans="1:12" ht="12.75">
      <c r="A64" s="427" t="s">
        <v>131</v>
      </c>
      <c r="B64" s="428"/>
      <c r="C64" s="428"/>
      <c r="D64" s="428"/>
      <c r="E64" s="428"/>
      <c r="F64" s="428"/>
      <c r="G64" s="428"/>
      <c r="H64" s="428"/>
      <c r="I64" s="428"/>
      <c r="J64" s="428"/>
      <c r="K64" s="429"/>
      <c r="L64" s="354"/>
    </row>
    <row r="65" spans="1:12" ht="12.75">
      <c r="A65" s="20" t="s">
        <v>31</v>
      </c>
      <c r="B65" s="78" t="s">
        <v>32</v>
      </c>
      <c r="C65" s="13">
        <f>C59+C62</f>
        <v>370000</v>
      </c>
      <c r="D65" s="13">
        <f aca="true" t="shared" si="18" ref="D65:K65">D59+D62</f>
        <v>370000</v>
      </c>
      <c r="E65" s="13">
        <f t="shared" si="18"/>
        <v>400000</v>
      </c>
      <c r="F65" s="13">
        <f t="shared" si="18"/>
        <v>0</v>
      </c>
      <c r="G65" s="13">
        <f t="shared" si="18"/>
        <v>0</v>
      </c>
      <c r="H65" s="13">
        <f t="shared" si="18"/>
        <v>370000</v>
      </c>
      <c r="I65" s="13">
        <f t="shared" si="18"/>
        <v>370000</v>
      </c>
      <c r="J65" s="13">
        <f t="shared" si="18"/>
        <v>0</v>
      </c>
      <c r="K65" s="89">
        <f t="shared" si="18"/>
        <v>370000</v>
      </c>
      <c r="L65" s="351"/>
    </row>
    <row r="66" spans="1:12" ht="12.75">
      <c r="A66" s="8" t="s">
        <v>140</v>
      </c>
      <c r="B66" s="56" t="s">
        <v>172</v>
      </c>
      <c r="C66" s="35">
        <f aca="true" t="shared" si="19" ref="C66:K66">C67+C68+C69+C70+C74</f>
        <v>2736520</v>
      </c>
      <c r="D66" s="35">
        <f t="shared" si="19"/>
        <v>2382520</v>
      </c>
      <c r="E66" s="35">
        <f t="shared" si="19"/>
        <v>1437004</v>
      </c>
      <c r="F66" s="35">
        <f t="shared" si="19"/>
        <v>1437005</v>
      </c>
      <c r="G66" s="35">
        <f t="shared" si="19"/>
        <v>1437004</v>
      </c>
      <c r="H66" s="35">
        <f t="shared" si="19"/>
        <v>1593169</v>
      </c>
      <c r="I66" s="35">
        <f t="shared" si="19"/>
        <v>1593169</v>
      </c>
      <c r="J66" s="35">
        <f t="shared" si="19"/>
        <v>625870</v>
      </c>
      <c r="K66" s="88">
        <f t="shared" si="19"/>
        <v>967299</v>
      </c>
      <c r="L66" s="343">
        <f>J66/C66</f>
        <v>0.22871018666043003</v>
      </c>
    </row>
    <row r="67" spans="1:12" ht="12.75">
      <c r="A67" s="1" t="s">
        <v>191</v>
      </c>
      <c r="B67" s="102" t="s">
        <v>40</v>
      </c>
      <c r="C67" s="12">
        <v>101000</v>
      </c>
      <c r="D67" s="12">
        <v>101000</v>
      </c>
      <c r="E67" s="12"/>
      <c r="F67" s="12"/>
      <c r="G67" s="111"/>
      <c r="H67" s="12">
        <v>40000</v>
      </c>
      <c r="I67" s="12">
        <v>40000</v>
      </c>
      <c r="J67" s="12">
        <v>40000</v>
      </c>
      <c r="K67" s="26">
        <f>H67-J67</f>
        <v>0</v>
      </c>
      <c r="L67" s="334">
        <f>J67/C67</f>
        <v>0.39603960396039606</v>
      </c>
    </row>
    <row r="68" spans="1:12" ht="12.75">
      <c r="A68" s="1" t="s">
        <v>192</v>
      </c>
      <c r="B68" s="102"/>
      <c r="C68" s="12">
        <f>D68+E68+F68+G68</f>
        <v>0</v>
      </c>
      <c r="D68" s="12"/>
      <c r="E68" s="12"/>
      <c r="F68" s="12"/>
      <c r="G68" s="111"/>
      <c r="H68" s="12"/>
      <c r="I68" s="12"/>
      <c r="J68" s="12"/>
      <c r="K68" s="26">
        <f>H68-J68</f>
        <v>0</v>
      </c>
      <c r="L68" s="334"/>
    </row>
    <row r="69" spans="1:12" ht="12.75">
      <c r="A69" s="69" t="s">
        <v>193</v>
      </c>
      <c r="B69" s="65" t="s">
        <v>40</v>
      </c>
      <c r="C69" s="13"/>
      <c r="D69" s="13"/>
      <c r="E69" s="13">
        <v>1437004</v>
      </c>
      <c r="F69" s="13">
        <v>1437005</v>
      </c>
      <c r="G69" s="114">
        <v>1437004</v>
      </c>
      <c r="H69" s="13"/>
      <c r="I69" s="13"/>
      <c r="J69" s="13"/>
      <c r="K69" s="89">
        <f>H69-J69</f>
        <v>0</v>
      </c>
      <c r="L69" s="344"/>
    </row>
    <row r="70" spans="1:12" ht="12.75">
      <c r="A70" s="437" t="s">
        <v>258</v>
      </c>
      <c r="B70" s="101"/>
      <c r="C70" s="71">
        <f>C71+C72+C73</f>
        <v>2635520</v>
      </c>
      <c r="D70" s="71">
        <f aca="true" t="shared" si="20" ref="D70:K70">D71+D72+D73</f>
        <v>2281520</v>
      </c>
      <c r="E70" s="71">
        <f t="shared" si="20"/>
        <v>0</v>
      </c>
      <c r="F70" s="71">
        <f t="shared" si="20"/>
        <v>0</v>
      </c>
      <c r="G70" s="71">
        <f t="shared" si="20"/>
        <v>0</v>
      </c>
      <c r="H70" s="71">
        <f t="shared" si="20"/>
        <v>1553169</v>
      </c>
      <c r="I70" s="71">
        <f t="shared" si="20"/>
        <v>1553169</v>
      </c>
      <c r="J70" s="71">
        <f t="shared" si="20"/>
        <v>585870</v>
      </c>
      <c r="K70" s="112">
        <f t="shared" si="20"/>
        <v>967299</v>
      </c>
      <c r="L70" s="355">
        <f>J70/C70</f>
        <v>0.22229768698397281</v>
      </c>
    </row>
    <row r="71" spans="1:12" ht="12.75">
      <c r="A71" s="438"/>
      <c r="B71" s="102" t="s">
        <v>39</v>
      </c>
      <c r="C71" s="12">
        <v>0</v>
      </c>
      <c r="D71" s="12"/>
      <c r="E71" s="12"/>
      <c r="F71" s="12"/>
      <c r="G71" s="111"/>
      <c r="H71" s="12"/>
      <c r="I71" s="12"/>
      <c r="J71" s="12"/>
      <c r="K71" s="111">
        <f>H71-J71</f>
        <v>0</v>
      </c>
      <c r="L71" s="356"/>
    </row>
    <row r="72" spans="1:12" ht="12.75">
      <c r="A72" s="438"/>
      <c r="B72" s="102" t="s">
        <v>40</v>
      </c>
      <c r="C72" s="12">
        <v>0</v>
      </c>
      <c r="D72" s="12"/>
      <c r="E72" s="12"/>
      <c r="F72" s="12"/>
      <c r="G72" s="111"/>
      <c r="H72" s="12"/>
      <c r="I72" s="12"/>
      <c r="J72" s="12"/>
      <c r="K72" s="111">
        <f>H72-J72</f>
        <v>0</v>
      </c>
      <c r="L72" s="356"/>
    </row>
    <row r="73" spans="1:12" ht="12.75">
      <c r="A73" s="439"/>
      <c r="B73" s="102" t="s">
        <v>65</v>
      </c>
      <c r="C73" s="12">
        <v>2635520</v>
      </c>
      <c r="D73" s="12">
        <f>1080320+1201200</f>
        <v>2281520</v>
      </c>
      <c r="E73" s="12"/>
      <c r="F73" s="12"/>
      <c r="G73" s="111"/>
      <c r="H73" s="12">
        <v>1553169</v>
      </c>
      <c r="I73" s="12">
        <v>1553169</v>
      </c>
      <c r="J73" s="12">
        <f>152320+433550</f>
        <v>585870</v>
      </c>
      <c r="K73" s="111">
        <f>H73-J73</f>
        <v>967299</v>
      </c>
      <c r="L73" s="356">
        <f>J73/C73</f>
        <v>0.22229768698397281</v>
      </c>
    </row>
    <row r="74" spans="1:12" ht="12.75">
      <c r="A74" s="1" t="s">
        <v>195</v>
      </c>
      <c r="B74" s="102"/>
      <c r="C74" s="12"/>
      <c r="D74" s="12"/>
      <c r="E74" s="12"/>
      <c r="F74" s="12"/>
      <c r="G74" s="111"/>
      <c r="H74" s="12"/>
      <c r="I74" s="12"/>
      <c r="J74" s="12"/>
      <c r="K74" s="26">
        <f>H74-J74</f>
        <v>0</v>
      </c>
      <c r="L74" s="334"/>
    </row>
    <row r="75" spans="1:12" ht="12.75">
      <c r="A75" s="421" t="s">
        <v>131</v>
      </c>
      <c r="B75" s="422"/>
      <c r="C75" s="422"/>
      <c r="D75" s="422"/>
      <c r="E75" s="422"/>
      <c r="F75" s="422"/>
      <c r="G75" s="422"/>
      <c r="H75" s="422"/>
      <c r="I75" s="422"/>
      <c r="J75" s="422"/>
      <c r="K75" s="423"/>
      <c r="L75" s="357"/>
    </row>
    <row r="76" spans="1:12" ht="12.75">
      <c r="A76" s="7" t="s">
        <v>43</v>
      </c>
      <c r="B76" s="65" t="s">
        <v>40</v>
      </c>
      <c r="C76" s="13">
        <f>C72+C67</f>
        <v>101000</v>
      </c>
      <c r="D76" s="13">
        <f aca="true" t="shared" si="21" ref="D76:K76">D72+D67</f>
        <v>101000</v>
      </c>
      <c r="E76" s="13">
        <f t="shared" si="21"/>
        <v>0</v>
      </c>
      <c r="F76" s="13">
        <f t="shared" si="21"/>
        <v>0</v>
      </c>
      <c r="G76" s="13">
        <f t="shared" si="21"/>
        <v>0</v>
      </c>
      <c r="H76" s="13">
        <f t="shared" si="21"/>
        <v>40000</v>
      </c>
      <c r="I76" s="13">
        <f t="shared" si="21"/>
        <v>40000</v>
      </c>
      <c r="J76" s="13">
        <f t="shared" si="21"/>
        <v>40000</v>
      </c>
      <c r="K76" s="89">
        <f t="shared" si="21"/>
        <v>0</v>
      </c>
      <c r="L76" s="358">
        <f>J76/C76</f>
        <v>0.39603960396039606</v>
      </c>
    </row>
    <row r="77" spans="1:12" ht="12.75">
      <c r="A77" s="47" t="s">
        <v>57</v>
      </c>
      <c r="B77" s="65" t="s">
        <v>39</v>
      </c>
      <c r="C77" s="13">
        <f>C71</f>
        <v>0</v>
      </c>
      <c r="D77" s="13">
        <f aca="true" t="shared" si="22" ref="D77:K77">D71</f>
        <v>0</v>
      </c>
      <c r="E77" s="13">
        <f t="shared" si="22"/>
        <v>0</v>
      </c>
      <c r="F77" s="13">
        <f t="shared" si="22"/>
        <v>0</v>
      </c>
      <c r="G77" s="13">
        <f t="shared" si="22"/>
        <v>0</v>
      </c>
      <c r="H77" s="13">
        <f t="shared" si="22"/>
        <v>0</v>
      </c>
      <c r="I77" s="13">
        <f t="shared" si="22"/>
        <v>0</v>
      </c>
      <c r="J77" s="13">
        <f t="shared" si="22"/>
        <v>0</v>
      </c>
      <c r="K77" s="89">
        <f t="shared" si="22"/>
        <v>0</v>
      </c>
      <c r="L77" s="358"/>
    </row>
    <row r="78" spans="1:12" ht="13.5" thickBot="1">
      <c r="A78" s="20" t="s">
        <v>141</v>
      </c>
      <c r="B78" s="105" t="s">
        <v>65</v>
      </c>
      <c r="C78" s="13">
        <f>C73</f>
        <v>2635520</v>
      </c>
      <c r="D78" s="13">
        <f aca="true" t="shared" si="23" ref="D78:K78">D73</f>
        <v>2281520</v>
      </c>
      <c r="E78" s="13">
        <f t="shared" si="23"/>
        <v>0</v>
      </c>
      <c r="F78" s="13">
        <f t="shared" si="23"/>
        <v>0</v>
      </c>
      <c r="G78" s="13">
        <f t="shared" si="23"/>
        <v>0</v>
      </c>
      <c r="H78" s="13">
        <f t="shared" si="23"/>
        <v>1553169</v>
      </c>
      <c r="I78" s="13">
        <f t="shared" si="23"/>
        <v>1553169</v>
      </c>
      <c r="J78" s="13">
        <f t="shared" si="23"/>
        <v>585870</v>
      </c>
      <c r="K78" s="89">
        <f t="shared" si="23"/>
        <v>967299</v>
      </c>
      <c r="L78" s="358">
        <f>J78/C78</f>
        <v>0.22229768698397281</v>
      </c>
    </row>
    <row r="79" spans="1:12" ht="13.5" thickBot="1">
      <c r="A79" s="66" t="s">
        <v>142</v>
      </c>
      <c r="B79" s="68" t="s">
        <v>172</v>
      </c>
      <c r="C79" s="67">
        <f aca="true" t="shared" si="24" ref="C79:K79">C80+C81+C82+C83+C84</f>
        <v>1258661</v>
      </c>
      <c r="D79" s="40">
        <f t="shared" si="24"/>
        <v>1258661</v>
      </c>
      <c r="E79" s="40">
        <f t="shared" si="24"/>
        <v>50000</v>
      </c>
      <c r="F79" s="40">
        <f t="shared" si="24"/>
        <v>50000</v>
      </c>
      <c r="G79" s="40">
        <f t="shared" si="24"/>
        <v>0</v>
      </c>
      <c r="H79" s="40">
        <f t="shared" si="24"/>
        <v>872310</v>
      </c>
      <c r="I79" s="40">
        <f t="shared" si="24"/>
        <v>872310</v>
      </c>
      <c r="J79" s="40">
        <f t="shared" si="24"/>
        <v>305937</v>
      </c>
      <c r="K79" s="87">
        <f t="shared" si="24"/>
        <v>566373</v>
      </c>
      <c r="L79" s="339">
        <f>J79/C79</f>
        <v>0.24306544812304504</v>
      </c>
    </row>
    <row r="80" spans="1:12" ht="12.75">
      <c r="A80" s="14" t="s">
        <v>191</v>
      </c>
      <c r="B80" s="80"/>
      <c r="C80" s="15">
        <f>D80+E80+F80+G80</f>
        <v>0</v>
      </c>
      <c r="D80" s="15"/>
      <c r="E80" s="15"/>
      <c r="F80" s="15"/>
      <c r="G80" s="113"/>
      <c r="H80" s="12"/>
      <c r="I80" s="12"/>
      <c r="J80" s="12"/>
      <c r="K80" s="26">
        <f>H80-J80</f>
        <v>0</v>
      </c>
      <c r="L80" s="340"/>
    </row>
    <row r="81" spans="1:12" ht="12.75">
      <c r="A81" s="1" t="s">
        <v>192</v>
      </c>
      <c r="B81" s="80"/>
      <c r="C81" s="12">
        <f>D81+E81+F81+G81</f>
        <v>0</v>
      </c>
      <c r="D81" s="12"/>
      <c r="E81" s="12"/>
      <c r="F81" s="12"/>
      <c r="G81" s="111"/>
      <c r="H81" s="12"/>
      <c r="I81" s="12"/>
      <c r="J81" s="12"/>
      <c r="K81" s="26">
        <f>H81-J81</f>
        <v>0</v>
      </c>
      <c r="L81" s="334"/>
    </row>
    <row r="82" spans="1:12" ht="12.75">
      <c r="A82" s="69" t="s">
        <v>249</v>
      </c>
      <c r="B82" s="78" t="s">
        <v>227</v>
      </c>
      <c r="C82" s="13"/>
      <c r="D82" s="13"/>
      <c r="E82" s="13"/>
      <c r="F82" s="13"/>
      <c r="G82" s="114"/>
      <c r="H82" s="13"/>
      <c r="I82" s="13"/>
      <c r="J82" s="13"/>
      <c r="K82" s="89">
        <f>H82-J82</f>
        <v>0</v>
      </c>
      <c r="L82" s="344"/>
    </row>
    <row r="83" spans="1:12" ht="12.75">
      <c r="A83" s="70" t="s">
        <v>194</v>
      </c>
      <c r="B83" s="98" t="s">
        <v>227</v>
      </c>
      <c r="C83" s="71">
        <v>1258661</v>
      </c>
      <c r="D83" s="71">
        <v>1258661</v>
      </c>
      <c r="E83" s="71">
        <v>50000</v>
      </c>
      <c r="F83" s="71">
        <v>50000</v>
      </c>
      <c r="G83" s="112"/>
      <c r="H83" s="71">
        <f>872310</f>
        <v>872310</v>
      </c>
      <c r="I83" s="71">
        <f>872310</f>
        <v>872310</v>
      </c>
      <c r="J83" s="71">
        <f>305937</f>
        <v>305937</v>
      </c>
      <c r="K83" s="91">
        <f>H83-J83</f>
        <v>566373</v>
      </c>
      <c r="L83" s="335">
        <f>J83/C83</f>
        <v>0.24306544812304504</v>
      </c>
    </row>
    <row r="84" spans="1:12" ht="12.75">
      <c r="A84" s="1" t="s">
        <v>195</v>
      </c>
      <c r="B84" s="80"/>
      <c r="C84" s="12"/>
      <c r="D84" s="12"/>
      <c r="E84" s="12"/>
      <c r="F84" s="12"/>
      <c r="G84" s="111"/>
      <c r="H84" s="12"/>
      <c r="I84" s="12"/>
      <c r="J84" s="12"/>
      <c r="K84" s="26">
        <f>H84-J84</f>
        <v>0</v>
      </c>
      <c r="L84" s="334"/>
    </row>
    <row r="85" spans="1:12" ht="12.75">
      <c r="A85" s="427" t="s">
        <v>131</v>
      </c>
      <c r="B85" s="428"/>
      <c r="C85" s="428"/>
      <c r="D85" s="428"/>
      <c r="E85" s="428"/>
      <c r="F85" s="428"/>
      <c r="G85" s="428"/>
      <c r="H85" s="428"/>
      <c r="I85" s="428"/>
      <c r="J85" s="428"/>
      <c r="K85" s="429"/>
      <c r="L85" s="354"/>
    </row>
    <row r="86" spans="1:12" ht="13.5" thickBot="1">
      <c r="A86" s="18" t="s">
        <v>143</v>
      </c>
      <c r="B86" s="99" t="s">
        <v>227</v>
      </c>
      <c r="C86" s="17">
        <f aca="true" t="shared" si="25" ref="C86:K86">C83+C82</f>
        <v>1258661</v>
      </c>
      <c r="D86" s="17">
        <f t="shared" si="25"/>
        <v>1258661</v>
      </c>
      <c r="E86" s="17">
        <f t="shared" si="25"/>
        <v>50000</v>
      </c>
      <c r="F86" s="17">
        <f t="shared" si="25"/>
        <v>50000</v>
      </c>
      <c r="G86" s="17">
        <f t="shared" si="25"/>
        <v>0</v>
      </c>
      <c r="H86" s="17">
        <f t="shared" si="25"/>
        <v>872310</v>
      </c>
      <c r="I86" s="17">
        <f t="shared" si="25"/>
        <v>872310</v>
      </c>
      <c r="J86" s="17">
        <f t="shared" si="25"/>
        <v>305937</v>
      </c>
      <c r="K86" s="90">
        <f t="shared" si="25"/>
        <v>566373</v>
      </c>
      <c r="L86" s="359">
        <f>J86/C86</f>
        <v>0.24306544812304504</v>
      </c>
    </row>
    <row r="87" spans="1:12" ht="13.5" thickBot="1">
      <c r="A87" s="66" t="s">
        <v>144</v>
      </c>
      <c r="B87" s="122" t="s">
        <v>172</v>
      </c>
      <c r="C87" s="67">
        <f>C90+C94</f>
        <v>12612268</v>
      </c>
      <c r="D87" s="40">
        <f aca="true" t="shared" si="26" ref="D87:K87">D90+D94</f>
        <v>7434189</v>
      </c>
      <c r="E87" s="40">
        <f t="shared" si="26"/>
        <v>500000</v>
      </c>
      <c r="F87" s="40">
        <f t="shared" si="26"/>
        <v>600000</v>
      </c>
      <c r="G87" s="40">
        <f t="shared" si="26"/>
        <v>306000</v>
      </c>
      <c r="H87" s="40">
        <f t="shared" si="26"/>
        <v>7805105</v>
      </c>
      <c r="I87" s="40">
        <f t="shared" si="26"/>
        <v>7805105</v>
      </c>
      <c r="J87" s="40">
        <f t="shared" si="26"/>
        <v>3436473</v>
      </c>
      <c r="K87" s="87">
        <f t="shared" si="26"/>
        <v>4368632</v>
      </c>
      <c r="L87" s="339">
        <f>J87/C87</f>
        <v>0.27247066110552043</v>
      </c>
    </row>
    <row r="88" spans="1:12" ht="12.75">
      <c r="A88" s="14" t="s">
        <v>191</v>
      </c>
      <c r="B88" s="110"/>
      <c r="C88" s="12">
        <f>D88+E88+F88+G88</f>
        <v>0</v>
      </c>
      <c r="D88" s="12"/>
      <c r="E88" s="12"/>
      <c r="F88" s="12"/>
      <c r="G88" s="111"/>
      <c r="H88" s="12"/>
      <c r="I88" s="12"/>
      <c r="J88" s="12"/>
      <c r="K88" s="26">
        <f>H88-J88</f>
        <v>0</v>
      </c>
      <c r="L88" s="340"/>
    </row>
    <row r="89" spans="1:12" ht="12.75">
      <c r="A89" s="1" t="s">
        <v>192</v>
      </c>
      <c r="B89" s="102"/>
      <c r="C89" s="12"/>
      <c r="D89" s="12"/>
      <c r="E89" s="12"/>
      <c r="F89" s="12"/>
      <c r="G89" s="111"/>
      <c r="H89" s="12"/>
      <c r="I89" s="12"/>
      <c r="J89" s="12"/>
      <c r="K89" s="26">
        <f>H89-J89</f>
        <v>0</v>
      </c>
      <c r="L89" s="334"/>
    </row>
    <row r="90" spans="1:12" ht="12.75">
      <c r="A90" s="434" t="s">
        <v>228</v>
      </c>
      <c r="B90" s="65" t="s">
        <v>226</v>
      </c>
      <c r="C90" s="13">
        <f>C91+C92+C93</f>
        <v>0</v>
      </c>
      <c r="D90" s="13">
        <f aca="true" t="shared" si="27" ref="D90:K90">D91+D92+D93</f>
        <v>0</v>
      </c>
      <c r="E90" s="13">
        <f t="shared" si="27"/>
        <v>0</v>
      </c>
      <c r="F90" s="13">
        <f t="shared" si="27"/>
        <v>0</v>
      </c>
      <c r="G90" s="13">
        <f t="shared" si="27"/>
        <v>0</v>
      </c>
      <c r="H90" s="13">
        <f t="shared" si="27"/>
        <v>0</v>
      </c>
      <c r="I90" s="13">
        <f t="shared" si="27"/>
        <v>0</v>
      </c>
      <c r="J90" s="13">
        <f t="shared" si="27"/>
        <v>0</v>
      </c>
      <c r="K90" s="114">
        <f t="shared" si="27"/>
        <v>0</v>
      </c>
      <c r="L90" s="360"/>
    </row>
    <row r="91" spans="1:12" ht="12.75" customHeight="1" hidden="1">
      <c r="A91" s="435"/>
      <c r="B91" s="106" t="s">
        <v>93</v>
      </c>
      <c r="C91" s="12"/>
      <c r="D91" s="12"/>
      <c r="E91" s="12"/>
      <c r="F91" s="12"/>
      <c r="G91" s="111"/>
      <c r="H91" s="12"/>
      <c r="I91" s="12"/>
      <c r="J91" s="12"/>
      <c r="K91" s="111">
        <f>H91-J91</f>
        <v>0</v>
      </c>
      <c r="L91" s="360"/>
    </row>
    <row r="92" spans="1:12" ht="12.75">
      <c r="A92" s="435"/>
      <c r="B92" s="106" t="s">
        <v>110</v>
      </c>
      <c r="C92" s="12"/>
      <c r="D92" s="12"/>
      <c r="E92" s="12"/>
      <c r="F92" s="12"/>
      <c r="G92" s="111"/>
      <c r="H92" s="12"/>
      <c r="I92" s="12"/>
      <c r="J92" s="12"/>
      <c r="K92" s="111">
        <f>H92-J92</f>
        <v>0</v>
      </c>
      <c r="L92" s="346"/>
    </row>
    <row r="93" spans="1:12" ht="12.75">
      <c r="A93" s="436"/>
      <c r="B93" s="106" t="s">
        <v>87</v>
      </c>
      <c r="C93" s="12"/>
      <c r="D93" s="12"/>
      <c r="E93" s="12"/>
      <c r="F93" s="12"/>
      <c r="G93" s="111"/>
      <c r="H93" s="12"/>
      <c r="I93" s="12"/>
      <c r="J93" s="12"/>
      <c r="K93" s="111">
        <f>H93-J93</f>
        <v>0</v>
      </c>
      <c r="L93" s="346"/>
    </row>
    <row r="94" spans="1:12" ht="12.75">
      <c r="A94" s="456" t="s">
        <v>145</v>
      </c>
      <c r="B94" s="64" t="s">
        <v>226</v>
      </c>
      <c r="C94" s="19">
        <f>C95+C96+C97+C98</f>
        <v>12612268</v>
      </c>
      <c r="D94" s="19">
        <f aca="true" t="shared" si="28" ref="D94:K94">D95+D96+D97+D98</f>
        <v>7434189</v>
      </c>
      <c r="E94" s="19">
        <f t="shared" si="28"/>
        <v>500000</v>
      </c>
      <c r="F94" s="19">
        <f t="shared" si="28"/>
        <v>600000</v>
      </c>
      <c r="G94" s="19">
        <f t="shared" si="28"/>
        <v>306000</v>
      </c>
      <c r="H94" s="19">
        <f t="shared" si="28"/>
        <v>7805105</v>
      </c>
      <c r="I94" s="19">
        <f t="shared" si="28"/>
        <v>7805105</v>
      </c>
      <c r="J94" s="19">
        <f t="shared" si="28"/>
        <v>3436473</v>
      </c>
      <c r="K94" s="319">
        <f t="shared" si="28"/>
        <v>4368632</v>
      </c>
      <c r="L94" s="361">
        <f>J94/C94</f>
        <v>0.27247066110552043</v>
      </c>
    </row>
    <row r="95" spans="1:12" ht="12.75">
      <c r="A95" s="457"/>
      <c r="B95" s="286" t="s">
        <v>93</v>
      </c>
      <c r="C95" s="52">
        <v>2806600</v>
      </c>
      <c r="D95" s="52">
        <f>1806600+500000</f>
        <v>2306600</v>
      </c>
      <c r="E95" s="52"/>
      <c r="F95" s="52"/>
      <c r="G95" s="53"/>
      <c r="H95" s="52">
        <v>1843986</v>
      </c>
      <c r="I95" s="52">
        <v>1843986</v>
      </c>
      <c r="J95" s="52">
        <v>1843986</v>
      </c>
      <c r="K95" s="53"/>
      <c r="L95" s="362">
        <f>J95/C95</f>
        <v>0.6570177438894036</v>
      </c>
    </row>
    <row r="96" spans="1:12" ht="12.75">
      <c r="A96" s="457"/>
      <c r="B96" s="107" t="s">
        <v>110</v>
      </c>
      <c r="C96" s="12">
        <v>1000</v>
      </c>
      <c r="D96" s="12">
        <v>1000</v>
      </c>
      <c r="E96" s="12"/>
      <c r="F96" s="12"/>
      <c r="G96" s="111"/>
      <c r="H96" s="51">
        <v>0</v>
      </c>
      <c r="I96" s="51">
        <v>0</v>
      </c>
      <c r="J96" s="12">
        <v>0</v>
      </c>
      <c r="K96" s="111">
        <f>H96-J96</f>
        <v>0</v>
      </c>
      <c r="L96" s="362"/>
    </row>
    <row r="97" spans="1:12" ht="12.75">
      <c r="A97" s="457"/>
      <c r="B97" s="107" t="s">
        <v>86</v>
      </c>
      <c r="C97" s="12">
        <v>2230000</v>
      </c>
      <c r="D97" s="12">
        <v>1000000</v>
      </c>
      <c r="E97" s="12"/>
      <c r="F97" s="12"/>
      <c r="G97" s="111"/>
      <c r="H97" s="12">
        <v>2194248</v>
      </c>
      <c r="I97" s="12">
        <v>2194248</v>
      </c>
      <c r="J97" s="12">
        <v>6336</v>
      </c>
      <c r="K97" s="111">
        <f>H97-J97</f>
        <v>2187912</v>
      </c>
      <c r="L97" s="362">
        <f>J97/C97</f>
        <v>0.0028412556053811658</v>
      </c>
    </row>
    <row r="98" spans="1:12" ht="12.75">
      <c r="A98" s="458"/>
      <c r="B98" s="107" t="s">
        <v>87</v>
      </c>
      <c r="C98" s="12">
        <v>7574668</v>
      </c>
      <c r="D98" s="12">
        <f>2000000+2126589</f>
        <v>4126589</v>
      </c>
      <c r="E98" s="12">
        <v>500000</v>
      </c>
      <c r="F98" s="12">
        <v>600000</v>
      </c>
      <c r="G98" s="111">
        <v>306000</v>
      </c>
      <c r="H98" s="12">
        <v>3766871</v>
      </c>
      <c r="I98" s="12">
        <v>3766871</v>
      </c>
      <c r="J98" s="12">
        <f>1124872+456901+4379-1</f>
        <v>1586151</v>
      </c>
      <c r="K98" s="111">
        <f>H98-J98</f>
        <v>2180720</v>
      </c>
      <c r="L98" s="362">
        <f>J98/C98</f>
        <v>0.20940204904030119</v>
      </c>
    </row>
    <row r="99" spans="1:12" ht="12.75">
      <c r="A99" s="1" t="s">
        <v>189</v>
      </c>
      <c r="B99" s="102"/>
      <c r="C99" s="12"/>
      <c r="D99" s="12"/>
      <c r="E99" s="12"/>
      <c r="F99" s="12"/>
      <c r="G99" s="111"/>
      <c r="H99" s="48"/>
      <c r="I99" s="48"/>
      <c r="J99" s="48"/>
      <c r="K99" s="26"/>
      <c r="L99" s="334"/>
    </row>
    <row r="100" spans="1:12" ht="12.75">
      <c r="A100" s="427" t="s">
        <v>131</v>
      </c>
      <c r="B100" s="428"/>
      <c r="C100" s="428"/>
      <c r="D100" s="428"/>
      <c r="E100" s="428"/>
      <c r="F100" s="428"/>
      <c r="G100" s="428"/>
      <c r="H100" s="428"/>
      <c r="I100" s="428"/>
      <c r="J100" s="428"/>
      <c r="K100" s="429"/>
      <c r="L100" s="354"/>
    </row>
    <row r="101" spans="1:12" ht="12.75">
      <c r="A101" s="6" t="s">
        <v>90</v>
      </c>
      <c r="B101" s="108" t="s">
        <v>93</v>
      </c>
      <c r="C101" s="13">
        <f>C95</f>
        <v>2806600</v>
      </c>
      <c r="D101" s="13">
        <f aca="true" t="shared" si="29" ref="D101:K101">D95</f>
        <v>2306600</v>
      </c>
      <c r="E101" s="13">
        <f t="shared" si="29"/>
        <v>0</v>
      </c>
      <c r="F101" s="13">
        <f t="shared" si="29"/>
        <v>0</v>
      </c>
      <c r="G101" s="13">
        <f t="shared" si="29"/>
        <v>0</v>
      </c>
      <c r="H101" s="13">
        <f t="shared" si="29"/>
        <v>1843986</v>
      </c>
      <c r="I101" s="13">
        <f t="shared" si="29"/>
        <v>1843986</v>
      </c>
      <c r="J101" s="13">
        <f t="shared" si="29"/>
        <v>1843986</v>
      </c>
      <c r="K101" s="13">
        <f t="shared" si="29"/>
        <v>0</v>
      </c>
      <c r="L101" s="348">
        <f>J101/C101</f>
        <v>0.6570177438894036</v>
      </c>
    </row>
    <row r="102" spans="1:12" ht="12.75">
      <c r="A102" s="6" t="s">
        <v>89</v>
      </c>
      <c r="B102" s="108" t="s">
        <v>110</v>
      </c>
      <c r="C102" s="13">
        <f>C96+C92</f>
        <v>1000</v>
      </c>
      <c r="D102" s="13">
        <f aca="true" t="shared" si="30" ref="D102:K102">D96+D92</f>
        <v>1000</v>
      </c>
      <c r="E102" s="13">
        <f t="shared" si="30"/>
        <v>0</v>
      </c>
      <c r="F102" s="13">
        <f t="shared" si="30"/>
        <v>0</v>
      </c>
      <c r="G102" s="13">
        <f t="shared" si="30"/>
        <v>0</v>
      </c>
      <c r="H102" s="13">
        <f t="shared" si="30"/>
        <v>0</v>
      </c>
      <c r="I102" s="13">
        <f t="shared" si="30"/>
        <v>0</v>
      </c>
      <c r="J102" s="13">
        <f t="shared" si="30"/>
        <v>0</v>
      </c>
      <c r="K102" s="89">
        <f t="shared" si="30"/>
        <v>0</v>
      </c>
      <c r="L102" s="348"/>
    </row>
    <row r="103" spans="1:12" ht="12.75">
      <c r="A103" s="6" t="s">
        <v>91</v>
      </c>
      <c r="B103" s="108" t="s">
        <v>86</v>
      </c>
      <c r="C103" s="13">
        <f>C97</f>
        <v>2230000</v>
      </c>
      <c r="D103" s="13">
        <f aca="true" t="shared" si="31" ref="D103:J103">D97</f>
        <v>1000000</v>
      </c>
      <c r="E103" s="13">
        <f t="shared" si="31"/>
        <v>0</v>
      </c>
      <c r="F103" s="13">
        <f t="shared" si="31"/>
        <v>0</v>
      </c>
      <c r="G103" s="13">
        <f t="shared" si="31"/>
        <v>0</v>
      </c>
      <c r="H103" s="13">
        <f t="shared" si="31"/>
        <v>2194248</v>
      </c>
      <c r="I103" s="13">
        <f t="shared" si="31"/>
        <v>2194248</v>
      </c>
      <c r="J103" s="13">
        <f t="shared" si="31"/>
        <v>6336</v>
      </c>
      <c r="K103" s="89">
        <f>H103-J103</f>
        <v>2187912</v>
      </c>
      <c r="L103" s="348">
        <f>J103/C103</f>
        <v>0.0028412556053811658</v>
      </c>
    </row>
    <row r="104" spans="1:12" ht="12.75">
      <c r="A104" s="92" t="s">
        <v>146</v>
      </c>
      <c r="B104" s="108" t="s">
        <v>87</v>
      </c>
      <c r="C104" s="13">
        <f>C98+C93</f>
        <v>7574668</v>
      </c>
      <c r="D104" s="13">
        <f aca="true" t="shared" si="32" ref="D104:K104">D98+D93</f>
        <v>4126589</v>
      </c>
      <c r="E104" s="13">
        <f t="shared" si="32"/>
        <v>500000</v>
      </c>
      <c r="F104" s="13">
        <f t="shared" si="32"/>
        <v>600000</v>
      </c>
      <c r="G104" s="13">
        <f t="shared" si="32"/>
        <v>306000</v>
      </c>
      <c r="H104" s="13">
        <f t="shared" si="32"/>
        <v>3766871</v>
      </c>
      <c r="I104" s="13">
        <f t="shared" si="32"/>
        <v>3766871</v>
      </c>
      <c r="J104" s="13">
        <f t="shared" si="32"/>
        <v>1586151</v>
      </c>
      <c r="K104" s="89">
        <f t="shared" si="32"/>
        <v>2180720</v>
      </c>
      <c r="L104" s="348">
        <f>J104/C104</f>
        <v>0.20940204904030119</v>
      </c>
    </row>
    <row r="105" spans="1:12" ht="12.75">
      <c r="A105" s="69" t="s">
        <v>195</v>
      </c>
      <c r="B105" s="118"/>
      <c r="C105" s="17"/>
      <c r="D105" s="17"/>
      <c r="E105" s="17"/>
      <c r="F105" s="17"/>
      <c r="G105" s="17"/>
      <c r="H105" s="119"/>
      <c r="I105" s="119"/>
      <c r="J105" s="119"/>
      <c r="K105" s="90"/>
      <c r="L105" s="344"/>
    </row>
    <row r="106" spans="1:12" ht="12.75">
      <c r="A106" s="21" t="s">
        <v>199</v>
      </c>
      <c r="B106" s="33" t="s">
        <v>172</v>
      </c>
      <c r="C106" s="40">
        <f>C107</f>
        <v>140000</v>
      </c>
      <c r="D106" s="40">
        <f aca="true" t="shared" si="33" ref="D106:K106">D107</f>
        <v>140000</v>
      </c>
      <c r="E106" s="40">
        <f t="shared" si="33"/>
        <v>0</v>
      </c>
      <c r="F106" s="40">
        <f t="shared" si="33"/>
        <v>0</v>
      </c>
      <c r="G106" s="40">
        <f t="shared" si="33"/>
        <v>0</v>
      </c>
      <c r="H106" s="40">
        <f t="shared" si="33"/>
        <v>137082</v>
      </c>
      <c r="I106" s="40">
        <f t="shared" si="33"/>
        <v>137082</v>
      </c>
      <c r="J106" s="40">
        <f t="shared" si="33"/>
        <v>232</v>
      </c>
      <c r="K106" s="40">
        <f t="shared" si="33"/>
        <v>0</v>
      </c>
      <c r="L106" s="339"/>
    </row>
    <row r="107" spans="1:12" ht="12.75">
      <c r="A107" s="430" t="s">
        <v>200</v>
      </c>
      <c r="B107" s="283" t="s">
        <v>226</v>
      </c>
      <c r="C107" s="284">
        <f>C108+C109</f>
        <v>140000</v>
      </c>
      <c r="D107" s="284">
        <f aca="true" t="shared" si="34" ref="D107:K107">D108+D109</f>
        <v>140000</v>
      </c>
      <c r="E107" s="284">
        <f t="shared" si="34"/>
        <v>0</v>
      </c>
      <c r="F107" s="284">
        <f t="shared" si="34"/>
        <v>0</v>
      </c>
      <c r="G107" s="284">
        <f t="shared" si="34"/>
        <v>0</v>
      </c>
      <c r="H107" s="284">
        <f t="shared" si="34"/>
        <v>137082</v>
      </c>
      <c r="I107" s="284">
        <f t="shared" si="34"/>
        <v>137082</v>
      </c>
      <c r="J107" s="284">
        <f t="shared" si="34"/>
        <v>232</v>
      </c>
      <c r="K107" s="320">
        <f t="shared" si="34"/>
        <v>0</v>
      </c>
      <c r="L107" s="345"/>
    </row>
    <row r="108" spans="1:12" ht="12.75">
      <c r="A108" s="431"/>
      <c r="B108" s="280" t="s">
        <v>253</v>
      </c>
      <c r="C108" s="281">
        <v>140000</v>
      </c>
      <c r="D108" s="281">
        <v>140000</v>
      </c>
      <c r="E108" s="281"/>
      <c r="F108" s="281"/>
      <c r="G108" s="281"/>
      <c r="H108" s="281">
        <v>137082</v>
      </c>
      <c r="I108" s="281">
        <v>137082</v>
      </c>
      <c r="J108" s="281">
        <v>232</v>
      </c>
      <c r="K108" s="321"/>
      <c r="L108" s="346"/>
    </row>
    <row r="109" spans="1:12" ht="12.75">
      <c r="A109" s="432"/>
      <c r="B109" s="109" t="s">
        <v>225</v>
      </c>
      <c r="C109" s="51"/>
      <c r="D109" s="51"/>
      <c r="E109" s="51"/>
      <c r="F109" s="51"/>
      <c r="G109" s="51"/>
      <c r="H109" s="51"/>
      <c r="I109" s="51"/>
      <c r="J109" s="51"/>
      <c r="K109" s="124">
        <f>I109-J109</f>
        <v>0</v>
      </c>
      <c r="L109" s="346"/>
    </row>
    <row r="110" spans="1:12" ht="12.75">
      <c r="A110" s="427" t="s">
        <v>131</v>
      </c>
      <c r="B110" s="428"/>
      <c r="C110" s="428"/>
      <c r="D110" s="428"/>
      <c r="E110" s="428"/>
      <c r="F110" s="428"/>
      <c r="G110" s="428"/>
      <c r="H110" s="428"/>
      <c r="I110" s="428"/>
      <c r="J110" s="428"/>
      <c r="K110" s="429"/>
      <c r="L110" s="354"/>
    </row>
    <row r="111" spans="1:12" ht="12.75">
      <c r="A111" s="364" t="s">
        <v>254</v>
      </c>
      <c r="B111" s="282" t="s">
        <v>253</v>
      </c>
      <c r="C111" s="285">
        <f>C108</f>
        <v>140000</v>
      </c>
      <c r="D111" s="285">
        <f aca="true" t="shared" si="35" ref="D111:K111">D108</f>
        <v>140000</v>
      </c>
      <c r="E111" s="285">
        <f t="shared" si="35"/>
        <v>0</v>
      </c>
      <c r="F111" s="285">
        <f t="shared" si="35"/>
        <v>0</v>
      </c>
      <c r="G111" s="285">
        <f t="shared" si="35"/>
        <v>0</v>
      </c>
      <c r="H111" s="285">
        <f>H108</f>
        <v>137082</v>
      </c>
      <c r="I111" s="285">
        <f>I108</f>
        <v>137082</v>
      </c>
      <c r="J111" s="285">
        <f t="shared" si="35"/>
        <v>232</v>
      </c>
      <c r="K111" s="285">
        <f t="shared" si="35"/>
        <v>0</v>
      </c>
      <c r="L111" s="365"/>
    </row>
    <row r="112" spans="1:12" ht="12.75">
      <c r="A112" s="92" t="s">
        <v>224</v>
      </c>
      <c r="B112" s="108" t="s">
        <v>225</v>
      </c>
      <c r="C112" s="13">
        <f>C109</f>
        <v>0</v>
      </c>
      <c r="D112" s="13">
        <f aca="true" t="shared" si="36" ref="D112:K112">D109</f>
        <v>0</v>
      </c>
      <c r="E112" s="13">
        <f t="shared" si="36"/>
        <v>0</v>
      </c>
      <c r="F112" s="13">
        <f t="shared" si="36"/>
        <v>0</v>
      </c>
      <c r="G112" s="13">
        <f t="shared" si="36"/>
        <v>0</v>
      </c>
      <c r="H112" s="13">
        <f t="shared" si="36"/>
        <v>0</v>
      </c>
      <c r="I112" s="13">
        <f t="shared" si="36"/>
        <v>0</v>
      </c>
      <c r="J112" s="13">
        <f t="shared" si="36"/>
        <v>0</v>
      </c>
      <c r="K112" s="89">
        <f t="shared" si="36"/>
        <v>0</v>
      </c>
      <c r="L112" s="363"/>
    </row>
    <row r="113" spans="1:12" ht="12.75">
      <c r="A113" s="1" t="s">
        <v>195</v>
      </c>
      <c r="B113" s="109"/>
      <c r="C113" s="51"/>
      <c r="D113" s="51"/>
      <c r="E113" s="51"/>
      <c r="F113" s="51"/>
      <c r="G113" s="51"/>
      <c r="H113" s="51"/>
      <c r="I113" s="51"/>
      <c r="J113" s="51"/>
      <c r="K113" s="117"/>
      <c r="L113" s="334"/>
    </row>
    <row r="114" spans="1:12" ht="12.75">
      <c r="A114" s="49" t="s">
        <v>147</v>
      </c>
      <c r="B114" s="33" t="s">
        <v>172</v>
      </c>
      <c r="C114" s="50">
        <f>C115+C116+C117+C118</f>
        <v>33446862</v>
      </c>
      <c r="D114" s="50">
        <f aca="true" t="shared" si="37" ref="D114:K114">D115+D116+D117+D118</f>
        <v>20141862</v>
      </c>
      <c r="E114" s="50">
        <f t="shared" si="37"/>
        <v>1200000</v>
      </c>
      <c r="F114" s="50">
        <f t="shared" si="37"/>
        <v>1354600</v>
      </c>
      <c r="G114" s="50">
        <f t="shared" si="37"/>
        <v>500000</v>
      </c>
      <c r="H114" s="50">
        <f t="shared" si="37"/>
        <v>18826307</v>
      </c>
      <c r="I114" s="50">
        <f t="shared" si="37"/>
        <v>18826307</v>
      </c>
      <c r="J114" s="50">
        <f t="shared" si="37"/>
        <v>5998341</v>
      </c>
      <c r="K114" s="93">
        <f t="shared" si="37"/>
        <v>12827966</v>
      </c>
      <c r="L114" s="366">
        <f>J114/C114</f>
        <v>0.17933942502588135</v>
      </c>
    </row>
    <row r="115" spans="1:12" ht="12.75">
      <c r="A115" s="1" t="s">
        <v>191</v>
      </c>
      <c r="B115" s="102"/>
      <c r="C115" s="12">
        <v>0</v>
      </c>
      <c r="D115" s="12">
        <v>0</v>
      </c>
      <c r="E115" s="12"/>
      <c r="F115" s="12"/>
      <c r="G115" s="111"/>
      <c r="H115" s="12"/>
      <c r="I115" s="12"/>
      <c r="J115" s="12"/>
      <c r="K115" s="26">
        <f>H115-J115</f>
        <v>0</v>
      </c>
      <c r="L115" s="334"/>
    </row>
    <row r="116" spans="1:12" ht="12.75">
      <c r="A116" s="1" t="s">
        <v>192</v>
      </c>
      <c r="B116" s="102"/>
      <c r="C116" s="12">
        <f>D116+E116+F116+G116</f>
        <v>0</v>
      </c>
      <c r="D116" s="12"/>
      <c r="E116" s="12"/>
      <c r="F116" s="12"/>
      <c r="G116" s="111"/>
      <c r="H116" s="12"/>
      <c r="I116" s="12"/>
      <c r="J116" s="12"/>
      <c r="K116" s="26">
        <f>H116-J116</f>
        <v>0</v>
      </c>
      <c r="L116" s="334"/>
    </row>
    <row r="117" spans="1:12" ht="12.75">
      <c r="A117" s="1" t="s">
        <v>193</v>
      </c>
      <c r="B117" s="102"/>
      <c r="C117" s="12"/>
      <c r="D117" s="12"/>
      <c r="E117" s="12"/>
      <c r="F117" s="12"/>
      <c r="G117" s="111"/>
      <c r="H117" s="12"/>
      <c r="I117" s="12"/>
      <c r="J117" s="12"/>
      <c r="K117" s="26">
        <f>H117-J117</f>
        <v>0</v>
      </c>
      <c r="L117" s="334"/>
    </row>
    <row r="118" spans="1:12" ht="12.75">
      <c r="A118" s="433" t="s">
        <v>128</v>
      </c>
      <c r="B118" s="64"/>
      <c r="C118" s="19">
        <f>C119+C121+C122+C120</f>
        <v>33446862</v>
      </c>
      <c r="D118" s="19">
        <f aca="true" t="shared" si="38" ref="D118:K118">D119+D121+D122+D120</f>
        <v>20141862</v>
      </c>
      <c r="E118" s="19">
        <f t="shared" si="38"/>
        <v>1200000</v>
      </c>
      <c r="F118" s="19">
        <f t="shared" si="38"/>
        <v>1354600</v>
      </c>
      <c r="G118" s="19">
        <f t="shared" si="38"/>
        <v>500000</v>
      </c>
      <c r="H118" s="19">
        <f t="shared" si="38"/>
        <v>18826307</v>
      </c>
      <c r="I118" s="19">
        <f t="shared" si="38"/>
        <v>18826307</v>
      </c>
      <c r="J118" s="19">
        <f t="shared" si="38"/>
        <v>5998341</v>
      </c>
      <c r="K118" s="19">
        <f t="shared" si="38"/>
        <v>12827966</v>
      </c>
      <c r="L118" s="367">
        <f>J118/C118</f>
        <v>0.17933942502588135</v>
      </c>
    </row>
    <row r="119" spans="1:12" ht="12.75">
      <c r="A119" s="433"/>
      <c r="B119" s="109" t="s">
        <v>203</v>
      </c>
      <c r="C119" s="52">
        <v>15340000</v>
      </c>
      <c r="D119" s="52">
        <v>5340000</v>
      </c>
      <c r="E119" s="52"/>
      <c r="F119" s="52"/>
      <c r="G119" s="53"/>
      <c r="H119" s="52">
        <v>4399510</v>
      </c>
      <c r="I119" s="52">
        <v>4399510</v>
      </c>
      <c r="J119" s="52">
        <f>520427+1328785</f>
        <v>1849212</v>
      </c>
      <c r="K119" s="26">
        <f>H119-J119</f>
        <v>2550298</v>
      </c>
      <c r="L119" s="368">
        <f>J119/C119</f>
        <v>0.120548370273794</v>
      </c>
    </row>
    <row r="120" spans="1:12" ht="12.75">
      <c r="A120" s="433"/>
      <c r="B120" s="109" t="s">
        <v>104</v>
      </c>
      <c r="C120" s="52">
        <v>3000000</v>
      </c>
      <c r="D120" s="52">
        <v>3000000</v>
      </c>
      <c r="E120" s="52"/>
      <c r="F120" s="52"/>
      <c r="G120" s="53"/>
      <c r="H120" s="52"/>
      <c r="I120" s="52"/>
      <c r="J120" s="52"/>
      <c r="K120" s="26"/>
      <c r="L120" s="368">
        <f>J120/C120</f>
        <v>0</v>
      </c>
    </row>
    <row r="121" spans="1:12" ht="12.75">
      <c r="A121" s="433"/>
      <c r="B121" s="106" t="s">
        <v>105</v>
      </c>
      <c r="C121" s="12">
        <v>9410000</v>
      </c>
      <c r="D121" s="12">
        <f>935000+5170000</f>
        <v>6105000</v>
      </c>
      <c r="E121" s="12">
        <v>1000000</v>
      </c>
      <c r="F121" s="12">
        <v>1000000</v>
      </c>
      <c r="G121" s="111">
        <v>500000</v>
      </c>
      <c r="H121" s="12">
        <v>9308207</v>
      </c>
      <c r="I121" s="12">
        <v>9308207</v>
      </c>
      <c r="J121" s="12">
        <f>1500226+1686003</f>
        <v>3186229</v>
      </c>
      <c r="K121" s="26">
        <f>H121-J121</f>
        <v>6121978</v>
      </c>
      <c r="L121" s="368">
        <f>J121/C121</f>
        <v>0.3386003188097768</v>
      </c>
    </row>
    <row r="122" spans="1:12" ht="12.75">
      <c r="A122" s="433"/>
      <c r="B122" s="106" t="s">
        <v>106</v>
      </c>
      <c r="C122" s="12">
        <v>5696862</v>
      </c>
      <c r="D122" s="12">
        <v>5696862</v>
      </c>
      <c r="E122" s="12">
        <v>200000</v>
      </c>
      <c r="F122" s="12">
        <v>354600</v>
      </c>
      <c r="G122" s="111"/>
      <c r="H122" s="12">
        <v>5118590</v>
      </c>
      <c r="I122" s="12">
        <v>5118590</v>
      </c>
      <c r="J122" s="12">
        <f>641610+321290</f>
        <v>962900</v>
      </c>
      <c r="K122" s="26">
        <f>H122-J122</f>
        <v>4155690</v>
      </c>
      <c r="L122" s="368">
        <f>J122/C122</f>
        <v>0.16902287610266845</v>
      </c>
    </row>
    <row r="123" spans="1:12" ht="12.75">
      <c r="A123" s="1" t="s">
        <v>195</v>
      </c>
      <c r="B123" s="102"/>
      <c r="C123" s="12">
        <f>D123+E123+F123+G123</f>
        <v>0</v>
      </c>
      <c r="D123" s="12"/>
      <c r="E123" s="12"/>
      <c r="F123" s="12"/>
      <c r="G123" s="111"/>
      <c r="H123" s="48"/>
      <c r="I123" s="48"/>
      <c r="J123" s="48"/>
      <c r="K123" s="26">
        <f>H123-J123</f>
        <v>0</v>
      </c>
      <c r="L123" s="334"/>
    </row>
    <row r="124" spans="1:12" ht="12.75">
      <c r="A124" s="427" t="s">
        <v>131</v>
      </c>
      <c r="B124" s="428"/>
      <c r="C124" s="428"/>
      <c r="D124" s="428"/>
      <c r="E124" s="428"/>
      <c r="F124" s="428"/>
      <c r="G124" s="428"/>
      <c r="H124" s="428"/>
      <c r="I124" s="428"/>
      <c r="J124" s="428"/>
      <c r="K124" s="429"/>
      <c r="L124" s="354"/>
    </row>
    <row r="125" spans="1:12" ht="12.75">
      <c r="A125" s="6" t="s">
        <v>201</v>
      </c>
      <c r="B125" s="108" t="s">
        <v>202</v>
      </c>
      <c r="C125" s="13">
        <f>C119</f>
        <v>15340000</v>
      </c>
      <c r="D125" s="13">
        <f aca="true" t="shared" si="39" ref="D125:K125">D119</f>
        <v>5340000</v>
      </c>
      <c r="E125" s="13">
        <f t="shared" si="39"/>
        <v>0</v>
      </c>
      <c r="F125" s="13">
        <f t="shared" si="39"/>
        <v>0</v>
      </c>
      <c r="G125" s="13">
        <f t="shared" si="39"/>
        <v>0</v>
      </c>
      <c r="H125" s="13">
        <f t="shared" si="39"/>
        <v>4399510</v>
      </c>
      <c r="I125" s="13">
        <f t="shared" si="39"/>
        <v>4399510</v>
      </c>
      <c r="J125" s="13">
        <f t="shared" si="39"/>
        <v>1849212</v>
      </c>
      <c r="K125" s="89">
        <f t="shared" si="39"/>
        <v>2550298</v>
      </c>
      <c r="L125" s="348">
        <f>J125/C125</f>
        <v>0.120548370273794</v>
      </c>
    </row>
    <row r="126" spans="1:12" ht="12.75">
      <c r="A126" s="6" t="s">
        <v>239</v>
      </c>
      <c r="B126" s="108" t="s">
        <v>104</v>
      </c>
      <c r="C126" s="13">
        <f>C120</f>
        <v>3000000</v>
      </c>
      <c r="D126" s="13">
        <f aca="true" t="shared" si="40" ref="D126:K126">D120</f>
        <v>3000000</v>
      </c>
      <c r="E126" s="13">
        <f t="shared" si="40"/>
        <v>0</v>
      </c>
      <c r="F126" s="13">
        <f t="shared" si="40"/>
        <v>0</v>
      </c>
      <c r="G126" s="13">
        <f t="shared" si="40"/>
        <v>0</v>
      </c>
      <c r="H126" s="13">
        <f t="shared" si="40"/>
        <v>0</v>
      </c>
      <c r="I126" s="13">
        <f t="shared" si="40"/>
        <v>0</v>
      </c>
      <c r="J126" s="13">
        <f t="shared" si="40"/>
        <v>0</v>
      </c>
      <c r="K126" s="13">
        <f t="shared" si="40"/>
        <v>0</v>
      </c>
      <c r="L126" s="348">
        <f>J126/C126</f>
        <v>0</v>
      </c>
    </row>
    <row r="127" spans="1:12" ht="12.75">
      <c r="A127" s="6" t="s">
        <v>148</v>
      </c>
      <c r="B127" s="108" t="s">
        <v>105</v>
      </c>
      <c r="C127" s="13">
        <f>C121</f>
        <v>9410000</v>
      </c>
      <c r="D127" s="13">
        <f aca="true" t="shared" si="41" ref="D127:K127">D121</f>
        <v>6105000</v>
      </c>
      <c r="E127" s="13">
        <f t="shared" si="41"/>
        <v>1000000</v>
      </c>
      <c r="F127" s="13">
        <f t="shared" si="41"/>
        <v>1000000</v>
      </c>
      <c r="G127" s="13">
        <f t="shared" si="41"/>
        <v>500000</v>
      </c>
      <c r="H127" s="13">
        <f t="shared" si="41"/>
        <v>9308207</v>
      </c>
      <c r="I127" s="13">
        <f t="shared" si="41"/>
        <v>9308207</v>
      </c>
      <c r="J127" s="13">
        <f t="shared" si="41"/>
        <v>3186229</v>
      </c>
      <c r="K127" s="89">
        <f t="shared" si="41"/>
        <v>6121978</v>
      </c>
      <c r="L127" s="348">
        <f>J127/C127</f>
        <v>0.3386003188097768</v>
      </c>
    </row>
    <row r="128" spans="1:12" ht="12.75">
      <c r="A128" s="5" t="s">
        <v>149</v>
      </c>
      <c r="B128" s="120" t="s">
        <v>106</v>
      </c>
      <c r="C128" s="17">
        <f>C122+C117</f>
        <v>5696862</v>
      </c>
      <c r="D128" s="17">
        <f aca="true" t="shared" si="42" ref="D128:K128">D122+D117</f>
        <v>5696862</v>
      </c>
      <c r="E128" s="17">
        <f t="shared" si="42"/>
        <v>200000</v>
      </c>
      <c r="F128" s="17">
        <f t="shared" si="42"/>
        <v>354600</v>
      </c>
      <c r="G128" s="17">
        <f t="shared" si="42"/>
        <v>0</v>
      </c>
      <c r="H128" s="17">
        <f t="shared" si="42"/>
        <v>5118590</v>
      </c>
      <c r="I128" s="17">
        <f t="shared" si="42"/>
        <v>5118590</v>
      </c>
      <c r="J128" s="17">
        <f t="shared" si="42"/>
        <v>962900</v>
      </c>
      <c r="K128" s="90">
        <f t="shared" si="42"/>
        <v>4155690</v>
      </c>
      <c r="L128" s="348">
        <f>J128/C128</f>
        <v>0.16902287610266845</v>
      </c>
    </row>
    <row r="129" spans="1:12" ht="13.5" thickBot="1">
      <c r="A129" s="139" t="s">
        <v>195</v>
      </c>
      <c r="B129" s="140"/>
      <c r="C129" s="141"/>
      <c r="D129" s="141"/>
      <c r="E129" s="141"/>
      <c r="F129" s="141"/>
      <c r="G129" s="141"/>
      <c r="H129" s="142"/>
      <c r="I129" s="142"/>
      <c r="J129" s="142"/>
      <c r="K129" s="143"/>
      <c r="L129" s="369"/>
    </row>
    <row r="130" spans="3:11" ht="12.75">
      <c r="C130" s="11"/>
      <c r="D130" s="10"/>
      <c r="E130" s="10"/>
      <c r="F130" s="10"/>
      <c r="G130" s="10"/>
      <c r="H130" s="10"/>
      <c r="I130" s="10"/>
      <c r="J130" s="10"/>
      <c r="K130" s="10"/>
    </row>
    <row r="131" spans="3:11" ht="13.5" thickBot="1">
      <c r="C131" s="11"/>
      <c r="D131" s="10"/>
      <c r="E131" s="10"/>
      <c r="F131" s="10"/>
      <c r="G131" s="10"/>
      <c r="H131" s="10"/>
      <c r="I131" s="10"/>
      <c r="J131" s="10"/>
      <c r="K131" s="10"/>
    </row>
    <row r="132" spans="1:12" ht="33.75">
      <c r="A132" s="454" t="s">
        <v>181</v>
      </c>
      <c r="B132" s="455"/>
      <c r="C132" s="36" t="s">
        <v>166</v>
      </c>
      <c r="D132" s="36" t="s">
        <v>167</v>
      </c>
      <c r="E132" s="57"/>
      <c r="F132" s="57"/>
      <c r="G132" s="57"/>
      <c r="H132" s="36" t="s">
        <v>168</v>
      </c>
      <c r="I132" s="36" t="s">
        <v>169</v>
      </c>
      <c r="J132" s="36" t="s">
        <v>170</v>
      </c>
      <c r="K132" s="371" t="s">
        <v>171</v>
      </c>
      <c r="L132" s="374" t="s">
        <v>263</v>
      </c>
    </row>
    <row r="133" spans="1:12" ht="12.75">
      <c r="A133" s="444" t="s">
        <v>125</v>
      </c>
      <c r="B133" s="445"/>
      <c r="C133" s="12">
        <f aca="true" t="shared" si="43" ref="C133:K133">C115+C88+C80+C67+C59+C41+C26+C18+C10</f>
        <v>471000</v>
      </c>
      <c r="D133" s="12">
        <f t="shared" si="43"/>
        <v>471000</v>
      </c>
      <c r="E133" s="12">
        <f t="shared" si="43"/>
        <v>400000</v>
      </c>
      <c r="F133" s="12">
        <f t="shared" si="43"/>
        <v>0</v>
      </c>
      <c r="G133" s="12">
        <f t="shared" si="43"/>
        <v>0</v>
      </c>
      <c r="H133" s="12">
        <f t="shared" si="43"/>
        <v>410000</v>
      </c>
      <c r="I133" s="12">
        <f t="shared" si="43"/>
        <v>410000</v>
      </c>
      <c r="J133" s="12">
        <f t="shared" si="43"/>
        <v>40000</v>
      </c>
      <c r="K133" s="111">
        <f t="shared" si="43"/>
        <v>370000</v>
      </c>
      <c r="L133" s="375">
        <f>J133/C133</f>
        <v>0.08492569002123142</v>
      </c>
    </row>
    <row r="134" spans="1:12" ht="12.75">
      <c r="A134" s="444" t="s">
        <v>126</v>
      </c>
      <c r="B134" s="445"/>
      <c r="C134" s="12">
        <f aca="true" t="shared" si="44" ref="C134:K134">C116+C89+C81+C68+C60+C42+C27+C19+C11</f>
        <v>0</v>
      </c>
      <c r="D134" s="12">
        <f t="shared" si="44"/>
        <v>0</v>
      </c>
      <c r="E134" s="12">
        <f t="shared" si="44"/>
        <v>0</v>
      </c>
      <c r="F134" s="12">
        <f t="shared" si="44"/>
        <v>0</v>
      </c>
      <c r="G134" s="12">
        <f t="shared" si="44"/>
        <v>0</v>
      </c>
      <c r="H134" s="12">
        <f t="shared" si="44"/>
        <v>0</v>
      </c>
      <c r="I134" s="12">
        <f t="shared" si="44"/>
        <v>0</v>
      </c>
      <c r="J134" s="12">
        <f t="shared" si="44"/>
        <v>0</v>
      </c>
      <c r="K134" s="111">
        <f t="shared" si="44"/>
        <v>0</v>
      </c>
      <c r="L134" s="375"/>
    </row>
    <row r="135" spans="1:12" ht="12.75">
      <c r="A135" s="444" t="s">
        <v>127</v>
      </c>
      <c r="B135" s="445"/>
      <c r="C135" s="12">
        <f>C90</f>
        <v>0</v>
      </c>
      <c r="D135" s="12">
        <f aca="true" t="shared" si="45" ref="D135:K135">D90</f>
        <v>0</v>
      </c>
      <c r="E135" s="12">
        <f t="shared" si="45"/>
        <v>0</v>
      </c>
      <c r="F135" s="12">
        <f t="shared" si="45"/>
        <v>0</v>
      </c>
      <c r="G135" s="12">
        <f t="shared" si="45"/>
        <v>0</v>
      </c>
      <c r="H135" s="12">
        <f t="shared" si="45"/>
        <v>0</v>
      </c>
      <c r="I135" s="12">
        <f t="shared" si="45"/>
        <v>0</v>
      </c>
      <c r="J135" s="12">
        <f t="shared" si="45"/>
        <v>0</v>
      </c>
      <c r="K135" s="111">
        <f t="shared" si="45"/>
        <v>0</v>
      </c>
      <c r="L135" s="375"/>
    </row>
    <row r="136" spans="1:12" ht="12.75">
      <c r="A136" s="136"/>
      <c r="B136" s="137" t="s">
        <v>251</v>
      </c>
      <c r="C136" s="12">
        <f aca="true" t="shared" si="46" ref="C136:K136">C82+C43</f>
        <v>0</v>
      </c>
      <c r="D136" s="12">
        <f t="shared" si="46"/>
        <v>0</v>
      </c>
      <c r="E136" s="12">
        <f t="shared" si="46"/>
        <v>0</v>
      </c>
      <c r="F136" s="12">
        <f t="shared" si="46"/>
        <v>0</v>
      </c>
      <c r="G136" s="12">
        <f t="shared" si="46"/>
        <v>0</v>
      </c>
      <c r="H136" s="12">
        <f t="shared" si="46"/>
        <v>0</v>
      </c>
      <c r="I136" s="12">
        <f t="shared" si="46"/>
        <v>0</v>
      </c>
      <c r="J136" s="12">
        <f t="shared" si="46"/>
        <v>0</v>
      </c>
      <c r="K136" s="111">
        <f t="shared" si="46"/>
        <v>0</v>
      </c>
      <c r="L136" s="375"/>
    </row>
    <row r="137" spans="1:12" ht="12.75">
      <c r="A137" s="444" t="s">
        <v>128</v>
      </c>
      <c r="B137" s="445"/>
      <c r="C137" s="12">
        <f>C118+C107+C94+C83+C70+C45+C29+C21+C13</f>
        <v>53797786</v>
      </c>
      <c r="D137" s="12">
        <f aca="true" t="shared" si="47" ref="D137:K137">D118+D107+D94+D83+D70+D45+D29+D21+D13</f>
        <v>34632120</v>
      </c>
      <c r="E137" s="12">
        <f t="shared" si="47"/>
        <v>2456000</v>
      </c>
      <c r="F137" s="12">
        <f t="shared" si="47"/>
        <v>2440922</v>
      </c>
      <c r="G137" s="12">
        <f t="shared" si="47"/>
        <v>966000</v>
      </c>
      <c r="H137" s="12">
        <f t="shared" si="47"/>
        <v>33751763</v>
      </c>
      <c r="I137" s="12">
        <f t="shared" si="47"/>
        <v>31521763</v>
      </c>
      <c r="J137" s="12">
        <f t="shared" si="47"/>
        <v>11863828</v>
      </c>
      <c r="K137" s="111">
        <f t="shared" si="47"/>
        <v>19521085</v>
      </c>
      <c r="L137" s="375">
        <f>J137/C137</f>
        <v>0.22052632426174565</v>
      </c>
    </row>
    <row r="138" spans="1:12" ht="15" hidden="1">
      <c r="A138" s="41" t="s">
        <v>129</v>
      </c>
      <c r="B138" s="42" t="s">
        <v>151</v>
      </c>
      <c r="C138" s="42" t="s">
        <v>152</v>
      </c>
      <c r="D138" s="42" t="s">
        <v>153</v>
      </c>
      <c r="E138" s="42" t="s">
        <v>154</v>
      </c>
      <c r="F138" s="43" t="s">
        <v>155</v>
      </c>
      <c r="G138" s="58"/>
      <c r="H138" s="58"/>
      <c r="I138" s="58"/>
      <c r="J138" s="58"/>
      <c r="K138" s="58"/>
      <c r="L138" s="376"/>
    </row>
    <row r="139" spans="1:12" ht="15.75" hidden="1">
      <c r="A139" s="25" t="s">
        <v>125</v>
      </c>
      <c r="B139" s="22">
        <f aca="true" t="shared" si="48" ref="B139:B144">C139+D139+E139+F139</f>
        <v>871000</v>
      </c>
      <c r="C139" s="12">
        <f aca="true" t="shared" si="49" ref="C139:F140">D115+D88+D80+D67+D59+D41+D26+D18+D10</f>
        <v>471000</v>
      </c>
      <c r="D139" s="12">
        <f t="shared" si="49"/>
        <v>400000</v>
      </c>
      <c r="E139" s="12">
        <f t="shared" si="49"/>
        <v>0</v>
      </c>
      <c r="F139" s="26">
        <f t="shared" si="49"/>
        <v>0</v>
      </c>
      <c r="G139" s="58"/>
      <c r="H139" s="58"/>
      <c r="I139" s="58"/>
      <c r="J139" s="58"/>
      <c r="K139" s="58"/>
      <c r="L139" s="376"/>
    </row>
    <row r="140" spans="1:12" ht="15.75" hidden="1">
      <c r="A140" s="25" t="s">
        <v>126</v>
      </c>
      <c r="B140" s="22">
        <f t="shared" si="48"/>
        <v>0</v>
      </c>
      <c r="C140" s="12">
        <f t="shared" si="49"/>
        <v>0</v>
      </c>
      <c r="D140" s="12">
        <f t="shared" si="49"/>
        <v>0</v>
      </c>
      <c r="E140" s="12">
        <f t="shared" si="49"/>
        <v>0</v>
      </c>
      <c r="F140" s="26">
        <f t="shared" si="49"/>
        <v>0</v>
      </c>
      <c r="G140" s="58"/>
      <c r="H140" s="58"/>
      <c r="I140" s="58"/>
      <c r="J140" s="58"/>
      <c r="K140" s="58"/>
      <c r="L140" s="376"/>
    </row>
    <row r="141" spans="1:12" ht="15.75" hidden="1">
      <c r="A141" s="25" t="s">
        <v>127</v>
      </c>
      <c r="B141" s="22" t="e">
        <f t="shared" si="48"/>
        <v>#REF!</v>
      </c>
      <c r="C141" s="12" t="e">
        <f>D117+D91+D82+D69+D61+#REF!+D28+D20+D12</f>
        <v>#REF!</v>
      </c>
      <c r="D141" s="12" t="e">
        <f>E117+E91+E82+E69+E61+#REF!+E28+E20+E12</f>
        <v>#REF!</v>
      </c>
      <c r="E141" s="12" t="e">
        <f>F117+F91+F82+F69+F61+#REF!+F28+F20+F12</f>
        <v>#REF!</v>
      </c>
      <c r="F141" s="26" t="e">
        <f>G117+G91+G82+G69+G61+#REF!+G28+G20+G12</f>
        <v>#REF!</v>
      </c>
      <c r="G141" s="58"/>
      <c r="H141" s="58"/>
      <c r="I141" s="58"/>
      <c r="J141" s="58"/>
      <c r="K141" s="58"/>
      <c r="L141" s="376"/>
    </row>
    <row r="142" spans="1:12" ht="15.75" hidden="1">
      <c r="A142" s="25" t="s">
        <v>128</v>
      </c>
      <c r="B142" s="22">
        <f t="shared" si="48"/>
        <v>40142542</v>
      </c>
      <c r="C142" s="12">
        <f>D118+D94+D70+D62+D45+D33+D21+D13+D83</f>
        <v>34279620</v>
      </c>
      <c r="D142" s="12">
        <f>E118+E94+E70+E62+E45+E33+E21+E13+E83</f>
        <v>2456000</v>
      </c>
      <c r="E142" s="12">
        <f>F118+F94+F70+F62+F45+F33+F21+F13+F83</f>
        <v>2440922</v>
      </c>
      <c r="F142" s="26">
        <f>G118+G94+G70+G62+G45+G33+G21+G13+G83</f>
        <v>966000</v>
      </c>
      <c r="G142" s="58"/>
      <c r="H142" s="58"/>
      <c r="I142" s="58"/>
      <c r="J142" s="58"/>
      <c r="K142" s="58"/>
      <c r="L142" s="376"/>
    </row>
    <row r="143" spans="1:12" ht="15.75" hidden="1">
      <c r="A143" s="25" t="s">
        <v>129</v>
      </c>
      <c r="B143" s="22">
        <f t="shared" si="48"/>
        <v>0</v>
      </c>
      <c r="C143" s="12"/>
      <c r="D143" s="2"/>
      <c r="E143" s="2"/>
      <c r="F143" s="3"/>
      <c r="G143" s="58"/>
      <c r="H143" s="58"/>
      <c r="I143" s="58"/>
      <c r="J143" s="58"/>
      <c r="K143" s="58"/>
      <c r="L143" s="376"/>
    </row>
    <row r="144" spans="1:12" ht="16.5" hidden="1" thickBot="1">
      <c r="A144" s="27" t="s">
        <v>157</v>
      </c>
      <c r="B144" s="28" t="e">
        <f t="shared" si="48"/>
        <v>#REF!</v>
      </c>
      <c r="C144" s="23" t="e">
        <f>C143+C142+C141+C140+C139</f>
        <v>#REF!</v>
      </c>
      <c r="D144" s="23" t="e">
        <f>D143+D142+D141+D140+D139</f>
        <v>#REF!</v>
      </c>
      <c r="E144" s="23" t="e">
        <f>E143+E142+E141+E140+E139</f>
        <v>#REF!</v>
      </c>
      <c r="F144" s="24" t="e">
        <f>F143+F142+F141+F140+F139</f>
        <v>#REF!</v>
      </c>
      <c r="G144" s="58"/>
      <c r="H144" s="58"/>
      <c r="I144" s="58"/>
      <c r="J144" s="58"/>
      <c r="K144" s="58"/>
      <c r="L144" s="376"/>
    </row>
    <row r="145" spans="1:12" ht="12.75" hidden="1">
      <c r="A145" s="59"/>
      <c r="B145" s="60"/>
      <c r="C145" s="61"/>
      <c r="D145" s="58"/>
      <c r="E145" s="58"/>
      <c r="F145" s="58"/>
      <c r="G145" s="58"/>
      <c r="H145" s="58"/>
      <c r="I145" s="58"/>
      <c r="J145" s="58"/>
      <c r="K145" s="58"/>
      <c r="L145" s="376"/>
    </row>
    <row r="146" spans="1:12" ht="12.75">
      <c r="A146" s="444" t="s">
        <v>207</v>
      </c>
      <c r="B146" s="445"/>
      <c r="C146" s="12"/>
      <c r="D146" s="2"/>
      <c r="E146" s="2"/>
      <c r="F146" s="2"/>
      <c r="G146" s="2"/>
      <c r="H146" s="121">
        <f>H129+H105</f>
        <v>0</v>
      </c>
      <c r="I146" s="121">
        <f>I129+I105</f>
        <v>0</v>
      </c>
      <c r="J146" s="121">
        <f>J129+J105</f>
        <v>0</v>
      </c>
      <c r="K146" s="372"/>
      <c r="L146" s="376"/>
    </row>
    <row r="147" spans="1:12" ht="18.75" thickBot="1">
      <c r="A147" s="452" t="s">
        <v>158</v>
      </c>
      <c r="B147" s="453"/>
      <c r="C147" s="62">
        <f>C137+C135+C134+C133+C136</f>
        <v>54268786</v>
      </c>
      <c r="D147" s="62">
        <f aca="true" t="shared" si="50" ref="D147:K147">D137+D135+D134+D133+D136</f>
        <v>35103120</v>
      </c>
      <c r="E147" s="62">
        <f t="shared" si="50"/>
        <v>2856000</v>
      </c>
      <c r="F147" s="62">
        <f t="shared" si="50"/>
        <v>2440922</v>
      </c>
      <c r="G147" s="62">
        <f t="shared" si="50"/>
        <v>966000</v>
      </c>
      <c r="H147" s="62">
        <f t="shared" si="50"/>
        <v>34161763</v>
      </c>
      <c r="I147" s="62">
        <f t="shared" si="50"/>
        <v>31931763</v>
      </c>
      <c r="J147" s="62">
        <f t="shared" si="50"/>
        <v>11903828</v>
      </c>
      <c r="K147" s="373">
        <f t="shared" si="50"/>
        <v>19891085</v>
      </c>
      <c r="L147" s="377">
        <f>J147/C147</f>
        <v>0.21934944334299278</v>
      </c>
    </row>
    <row r="148" spans="1:11" s="46" customFormat="1" ht="18">
      <c r="A148" s="44"/>
      <c r="B148" s="44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.75">
      <c r="A149" s="31" t="s">
        <v>179</v>
      </c>
      <c r="C149" s="11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30" t="s">
        <v>204</v>
      </c>
      <c r="C150" s="11"/>
      <c r="D150" s="9"/>
      <c r="E150" s="10"/>
      <c r="F150" s="10"/>
      <c r="G150" s="10"/>
      <c r="H150" s="10"/>
      <c r="I150" s="10"/>
      <c r="J150" s="9" t="s">
        <v>248</v>
      </c>
      <c r="K150" s="10"/>
    </row>
    <row r="151" spans="1:11" ht="12.75">
      <c r="A151" s="135" t="s">
        <v>245</v>
      </c>
      <c r="C151" s="11"/>
      <c r="E151" s="10"/>
      <c r="F151" s="10"/>
      <c r="G151" s="10"/>
      <c r="H151" s="10"/>
      <c r="I151" s="10"/>
      <c r="J151" t="s">
        <v>244</v>
      </c>
      <c r="K151" s="10"/>
    </row>
    <row r="154" ht="12.75" hidden="1">
      <c r="B154" s="31" t="s">
        <v>234</v>
      </c>
    </row>
    <row r="155" spans="2:11" ht="12.75" hidden="1">
      <c r="B155" s="31" t="s">
        <v>235</v>
      </c>
      <c r="C155" s="11">
        <f>C128+C127+C125+C112+C104+C103+C102+C101+C86+C78+C77+C76+C65+C57+C56+C55+C53+C39+C38+C37+C36+C16</f>
        <v>51128786</v>
      </c>
      <c r="D155" s="11">
        <f>D128+D127+D125+D112+D104+D103+D102+D101+D86+D78+D77+D76+D65+D57+D56+D55+D53+D39+D38+D37+D36+D16</f>
        <v>31963120</v>
      </c>
      <c r="E155" s="11">
        <f>E128+E127+E125+E112+E104+E103+E102+E101+E86+E78+E77+E76+E65+E57+E56+E55+E53+E39+E38+E37+E36+E16</f>
        <v>2850000</v>
      </c>
      <c r="F155" s="11">
        <f>F128+F127+F125+F112+F104+F103+F102+F101+F86+F78+F77+F76+F65+F57+F56+F55+F53+F39+F38+F37+F36+F16</f>
        <v>2440922</v>
      </c>
      <c r="G155" s="11">
        <f>G128+G127+G125+G112+G104+G103+G102+G101+G86+G78+G77+G76+G65+G57+G56+G55+G53+G39+G38+G37+G36+G16</f>
        <v>966000</v>
      </c>
      <c r="H155" s="11">
        <f>H128+H127+H125+H112+H104+H103+H102+H101+H86+H78+H77+H76+H65+H57+H56+H55+H53+H39+H38+H37+H36+H16+H129+H105</f>
        <v>34024681</v>
      </c>
      <c r="I155" s="11">
        <f>I128+I127+I125+I112+I104+I103+I102+I101+I86+I78+I77+I76+I65+I57+I56+I55+I53+I39+I38+I37+I36+I16+I129+I105</f>
        <v>31794681</v>
      </c>
      <c r="J155" s="11">
        <f>J128+J127+J125+J112+J104+J103+J102+J101+J86+J78+J77+J76+J65+J57+J56+J55+J53+J39+J38+J37+J36+J16+J129+J105</f>
        <v>11903596</v>
      </c>
      <c r="K155" s="11">
        <f>K128+K127+K125+K112+K104+K103+K102+K101+K86+K78+K77+K76+K65+K57+K56+K55+K53+K39+K38+K37+K36+K16+K129+K105</f>
        <v>19891085</v>
      </c>
    </row>
  </sheetData>
  <sheetProtection/>
  <mergeCells count="30">
    <mergeCell ref="A4:L4"/>
    <mergeCell ref="I2:L2"/>
    <mergeCell ref="A147:B147"/>
    <mergeCell ref="A132:B132"/>
    <mergeCell ref="A133:B133"/>
    <mergeCell ref="A134:B134"/>
    <mergeCell ref="A94:A98"/>
    <mergeCell ref="A146:B146"/>
    <mergeCell ref="A15:K15"/>
    <mergeCell ref="B18:B22"/>
    <mergeCell ref="A23:K23"/>
    <mergeCell ref="A5:K5"/>
    <mergeCell ref="A85:K85"/>
    <mergeCell ref="A137:B137"/>
    <mergeCell ref="A43:A44"/>
    <mergeCell ref="A45:A50"/>
    <mergeCell ref="A124:K124"/>
    <mergeCell ref="A7:B7"/>
    <mergeCell ref="A135:B135"/>
    <mergeCell ref="A64:K64"/>
    <mergeCell ref="A75:K75"/>
    <mergeCell ref="A35:K35"/>
    <mergeCell ref="A100:K100"/>
    <mergeCell ref="A107:A109"/>
    <mergeCell ref="A29:A33"/>
    <mergeCell ref="A118:A122"/>
    <mergeCell ref="A90:A93"/>
    <mergeCell ref="A52:K52"/>
    <mergeCell ref="A70:A73"/>
    <mergeCell ref="A110:K110"/>
  </mergeCells>
  <printOptions/>
  <pageMargins left="0.51" right="0.2362204724409449" top="0.2" bottom="0.22" header="0.4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Anca Ratiu</cp:lastModifiedBy>
  <cp:lastPrinted>2018-07-12T06:13:45Z</cp:lastPrinted>
  <dcterms:created xsi:type="dcterms:W3CDTF">2011-02-23T07:07:11Z</dcterms:created>
  <dcterms:modified xsi:type="dcterms:W3CDTF">2018-07-12T11:12:59Z</dcterms:modified>
  <cp:category/>
  <cp:version/>
  <cp:contentType/>
  <cp:contentStatus/>
</cp:coreProperties>
</file>