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<sst xmlns="http://schemas.openxmlformats.org/spreadsheetml/2006/main" count="694" uniqueCount="275">
  <si>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</si>
  <si>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</si>
  <si>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</si>
  <si>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</si>
  <si>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</si>
  <si>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</si>
  <si>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</si>
  <si>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</si>
  <si>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</si>
  <si>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</si>
  <si>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</si>
  <si>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</si>
  <si>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</si>
  <si>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</si>
  <si>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</si>
  <si>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</si>
  <si>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</si>
  <si>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</si>
  <si>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</si>
  <si>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</si>
  <si>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</si>
  <si>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</si>
  <si>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</si>
  <si>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</si>
  <si>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</si>
  <si>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</si>
  <si>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</si>
  <si>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</si>
  <si>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</si>
  <si>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</si>
  <si>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</si>
  <si>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</si>
  <si>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</si>
  <si>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</si>
  <si>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</si>
  <si>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</si>
  <si>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</si>
  <si>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</si>
  <si>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</si>
  <si>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</si>
  <si>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</si>
  <si>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</si>
  <si>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</si>
  <si>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</si>
  <si>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</si>
  <si>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</si>
  <si>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</si>
  <si>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</si>
  <si>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</si>
  <si>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</si>
  <si>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</si>
  <si>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</si>
  <si>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</si>
  <si>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</si>
  <si>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</si>
  <si>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</si>
  <si>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</si>
  <si>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</si>
  <si>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</si>
  <si>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</si>
  <si>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</si>
  <si>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</si>
  <si>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</si>
  <si>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</si>
  <si>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</si>
  <si>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</si>
  <si>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</si>
  <si>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</si>
  <si>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</si>
  <si>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</si>
  <si>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</si>
  <si>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</si>
  <si>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</si>
  <si>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</si>
  <si>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</si>
  <si>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</si>
  <si>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</si>
  <si>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</si>
  <si>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</si>
  <si>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</si>
  <si>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</si>
  <si>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</si>
  <si>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</si>
  <si>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</si>
  <si>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</si>
  <si>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</si>
  <si>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</si>
  <si>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</si>
  <si>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</si>
  <si>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</si>
  <si>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</si>
  <si>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</si>
  <si>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</si>
  <si>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</si>
  <si>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</si>
  <si>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</si>
  <si>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</si>
  <si>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</si>
  <si>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</si>
  <si>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</si>
  <si>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</si>
  <si>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</si>
  <si>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</si>
  <si>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</si>
  <si>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</si>
  <si>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</si>
  <si>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</si>
  <si>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</si>
  <si>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</si>
  <si>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</si>
  <si>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</si>
  <si>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</si>
  <si>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</si>
  <si>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</si>
  <si>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</si>
  <si>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</si>
  <si>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</si>
  <si>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</si>
  <si>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</si>
  <si>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</si>
  <si>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</si>
  <si>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</si>
  <si>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</si>
  <si>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</si>
  <si>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</si>
  <si>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</si>
  <si>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</si>
  <si>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</si>
  <si>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</si>
  <si>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</si>
  <si>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</si>
  <si>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</si>
  <si>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</si>
  <si>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</si>
  <si>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</si>
  <si>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</si>
  <si>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</si>
  <si>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</si>
  <si>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</si>
  <si>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</si>
  <si>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</si>
  <si>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</si>
  <si>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</si>
  <si>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</si>
  <si>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</si>
  <si>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</si>
  <si>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</si>
  <si>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</si>
  <si>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</si>
  <si>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</si>
  <si>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</si>
  <si>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</si>
  <si>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</si>
  <si>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</si>
  <si>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</si>
  <si>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</si>
  <si>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</si>
  <si>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</si>
  <si>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</si>
  <si>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</si>
  <si>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</si>
  <si>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</si>
  <si>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</si>
  <si>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</si>
  <si>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</si>
  <si>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</si>
  <si>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</si>
  <si>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</si>
  <si>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</si>
  <si>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</si>
  <si>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</si>
  <si>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</si>
  <si>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</si>
  <si>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</si>
  <si>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</si>
  <si>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</si>
  <si>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</si>
  <si>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</si>
  <si>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</si>
  <si>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</si>
  <si>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</si>
  <si>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</si>
  <si>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</si>
  <si>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</si>
  <si>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</si>
  <si>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</si>
  <si>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</si>
  <si>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</si>
  <si>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</si>
  <si>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</si>
  <si>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</si>
  <si>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</si>
  <si>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</si>
  <si>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</si>
  <si>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</si>
  <si>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</si>
  <si>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</si>
  <si>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</si>
  <si>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</si>
  <si>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</si>
  <si>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</si>
  <si>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</si>
  <si>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</si>
  <si>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</si>
  <si>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</si>
  <si>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</si>
  <si>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</si>
  <si>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</si>
  <si>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</si>
  <si>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</si>
  <si>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</si>
  <si>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</si>
  <si>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</si>
  <si>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</si>
  <si>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</si>
  <si>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</si>
  <si>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</si>
  <si>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</si>
  <si>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</si>
  <si>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</si>
  <si>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</si>
  <si>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</si>
  <si>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</si>
  <si>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</si>
  <si>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</si>
  <si>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</si>
  <si>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</si>
  <si>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</si>
  <si>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</si>
  <si>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</si>
  <si>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</si>
  <si>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</si>
  <si>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</si>
  <si>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</si>
  <si>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</si>
  <si>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</si>
  <si>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</si>
  <si>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</si>
  <si>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</si>
  <si>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</si>
  <si>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</si>
  <si>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</si>
  <si>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</si>
  <si>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</si>
  <si>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</si>
  <si>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</si>
  <si>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</si>
  <si>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</si>
  <si>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</si>
  <si>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</si>
  <si>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</si>
  <si>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</si>
  <si>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</si>
  <si>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</si>
  <si>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</si>
  <si>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</si>
  <si>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</si>
  <si>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</si>
  <si>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</si>
  <si>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</si>
  <si>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</si>
  <si>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</si>
  <si>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</si>
  <si>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CHELTUIELI       -      la 30 iunie 2020</t>
  </si>
  <si>
    <t>CHELTUIELI      -  la 30 IUNIE 2020</t>
  </si>
  <si>
    <t>cheltuieli cu carantina</t>
  </si>
  <si>
    <t>Servicii de sănătate publică</t>
  </si>
  <si>
    <t>66.02.08</t>
  </si>
  <si>
    <t>Președinte de ședință,</t>
  </si>
  <si>
    <t>Gáti Ştefan</t>
  </si>
  <si>
    <t>Secretar general,</t>
  </si>
  <si>
    <t>Mihaela Maria Racolţa</t>
  </si>
  <si>
    <t>ANEXA nr. 2.1 la HCL nr. 115/30.07.2020</t>
  </si>
  <si>
    <t>ANEXA nr. 2 la HCL nr. 115/30.07.2020</t>
  </si>
  <si>
    <t>% prevederi/prevederi anuale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</si>
</sst>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3" fillId="24" borderId="12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>
      <alignment/>
    </xf>
    <xf numFmtId="0" fontId="2" fillId="24" borderId="12" xfId="0" applyFont="1" applyFill="1" applyBorder="1" applyAlignment="1">
      <alignment horizontal="right"/>
    </xf>
    <xf numFmtId="3" fontId="2" fillId="24" borderId="15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32" fillId="20" borderId="19" xfId="0" applyFont="1" applyFill="1" applyBorder="1" applyAlignment="1">
      <alignment horizontal="center" wrapText="1"/>
    </xf>
    <xf numFmtId="0" fontId="32" fillId="20" borderId="2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7" borderId="15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4" xfId="0" applyFont="1" applyFill="1" applyBorder="1" applyAlignment="1">
      <alignment horizontal="center" wrapText="1"/>
    </xf>
    <xf numFmtId="0" fontId="32" fillId="20" borderId="14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wrapText="1"/>
    </xf>
    <xf numFmtId="3" fontId="2" fillId="7" borderId="30" xfId="0" applyNumberFormat="1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8" borderId="16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8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3" fontId="2" fillId="8" borderId="3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33" fillId="24" borderId="15" xfId="0" applyNumberFormat="1" applyFont="1" applyFill="1" applyBorder="1" applyAlignment="1">
      <alignment/>
    </xf>
    <xf numFmtId="0" fontId="28" fillId="24" borderId="15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8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1" xfId="0" applyFont="1" applyFill="1" applyBorder="1" applyAlignment="1">
      <alignment horizontal="right"/>
    </xf>
    <xf numFmtId="3" fontId="2" fillId="24" borderId="18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0" fontId="29" fillId="24" borderId="21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38" xfId="0" applyFont="1" applyFill="1" applyBorder="1" applyAlignment="1">
      <alignment horizontal="center"/>
    </xf>
    <xf numFmtId="3" fontId="2" fillId="24" borderId="38" xfId="0" applyNumberFormat="1" applyFont="1" applyFill="1" applyBorder="1" applyAlignment="1">
      <alignment/>
    </xf>
    <xf numFmtId="3" fontId="33" fillId="24" borderId="38" xfId="0" applyNumberFormat="1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32" fillId="7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0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2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6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2" xfId="0" applyFont="1" applyFill="1" applyBorder="1" applyAlignment="1" applyProtection="1">
      <alignment horizontal="right"/>
      <protection/>
    </xf>
    <xf numFmtId="0" fontId="28" fillId="24" borderId="15" xfId="0" applyNumberFormat="1" applyFont="1" applyFill="1" applyBorder="1" applyAlignment="1" applyProtection="1">
      <alignment horizontal="right"/>
      <protection/>
    </xf>
    <xf numFmtId="3" fontId="24" fillId="24" borderId="15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5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2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6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5" xfId="0" applyFont="1" applyFill="1" applyBorder="1" applyAlignment="1">
      <alignment horizontal="right"/>
    </xf>
    <xf numFmtId="3" fontId="24" fillId="24" borderId="30" xfId="0" applyNumberFormat="1" applyFont="1" applyFill="1" applyBorder="1" applyAlignment="1">
      <alignment/>
    </xf>
    <xf numFmtId="0" fontId="22" fillId="4" borderId="41" xfId="0" applyFont="1" applyFill="1" applyBorder="1" applyAlignment="1">
      <alignment/>
    </xf>
    <xf numFmtId="3" fontId="22" fillId="4" borderId="15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7" xfId="0" applyNumberFormat="1" applyFont="1" applyFill="1" applyBorder="1" applyAlignment="1">
      <alignment/>
    </xf>
    <xf numFmtId="3" fontId="24" fillId="24" borderId="42" xfId="0" applyNumberFormat="1" applyFont="1" applyFill="1" applyBorder="1" applyAlignment="1">
      <alignment/>
    </xf>
    <xf numFmtId="0" fontId="22" fillId="24" borderId="43" xfId="0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36" fillId="24" borderId="27" xfId="0" applyNumberFormat="1" applyFont="1" applyFill="1" applyBorder="1" applyAlignment="1">
      <alignment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8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4" borderId="40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8" xfId="0" applyNumberFormat="1" applyFont="1" applyBorder="1" applyAlignment="1" quotePrefix="1">
      <alignment/>
    </xf>
    <xf numFmtId="3" fontId="2" fillId="0" borderId="3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3" xfId="0" applyFont="1" applyFill="1" applyBorder="1" applyAlignment="1">
      <alignment horizontal="center"/>
    </xf>
    <xf numFmtId="0" fontId="26" fillId="22" borderId="14" xfId="0" applyFont="1" applyFill="1" applyBorder="1" applyAlignment="1">
      <alignment horizontal="center"/>
    </xf>
    <xf numFmtId="0" fontId="26" fillId="22" borderId="2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6" xfId="0" applyNumberFormat="1" applyFont="1" applyBorder="1" applyAlignment="1">
      <alignment/>
    </xf>
    <xf numFmtId="0" fontId="26" fillId="22" borderId="44" xfId="0" applyFont="1" applyFill="1" applyBorder="1" applyAlignment="1">
      <alignment horizontal="center"/>
    </xf>
    <xf numFmtId="3" fontId="30" fillId="22" borderId="38" xfId="0" applyNumberFormat="1" applyFont="1" applyFill="1" applyBorder="1" applyAlignment="1">
      <alignment/>
    </xf>
    <xf numFmtId="3" fontId="30" fillId="22" borderId="39" xfId="0" applyNumberFormat="1" applyFont="1" applyFill="1" applyBorder="1" applyAlignment="1">
      <alignment/>
    </xf>
    <xf numFmtId="0" fontId="32" fillId="0" borderId="18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32" fillId="26" borderId="18" xfId="0" applyFont="1" applyFill="1" applyBorder="1" applyAlignment="1">
      <alignment horizontal="center"/>
    </xf>
    <xf numFmtId="3" fontId="2" fillId="26" borderId="15" xfId="0" applyNumberFormat="1" applyFont="1" applyFill="1" applyBorder="1" applyAlignment="1">
      <alignment horizontal="right"/>
    </xf>
    <xf numFmtId="0" fontId="28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7" borderId="10" xfId="0" applyFont="1" applyFill="1" applyBorder="1" applyAlignment="1">
      <alignment/>
    </xf>
    <xf numFmtId="0" fontId="1" fillId="27" borderId="11" xfId="0" applyFont="1" applyFill="1" applyBorder="1" applyAlignment="1">
      <alignment horizontal="right"/>
    </xf>
    <xf numFmtId="3" fontId="22" fillId="27" borderId="11" xfId="0" applyNumberFormat="1" applyFont="1" applyFill="1" applyBorder="1" applyAlignment="1">
      <alignment/>
    </xf>
    <xf numFmtId="3" fontId="22" fillId="27" borderId="16" xfId="0" applyNumberFormat="1" applyFont="1" applyFill="1" applyBorder="1" applyAlignment="1">
      <alignment/>
    </xf>
    <xf numFmtId="0" fontId="22" fillId="27" borderId="40" xfId="0" applyFont="1" applyFill="1" applyBorder="1" applyAlignment="1">
      <alignment/>
    </xf>
    <xf numFmtId="0" fontId="22" fillId="27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1" xfId="0" applyFont="1" applyFill="1" applyBorder="1" applyAlignment="1" applyProtection="1">
      <alignment horizontal="right"/>
      <protection/>
    </xf>
    <xf numFmtId="0" fontId="32" fillId="24" borderId="18" xfId="0" applyFont="1" applyFill="1" applyBorder="1" applyAlignment="1">
      <alignment horizontal="center"/>
    </xf>
    <xf numFmtId="0" fontId="27" fillId="24" borderId="45" xfId="0" applyFont="1" applyFill="1" applyBorder="1" applyAlignment="1">
      <alignment horizontal="right"/>
    </xf>
    <xf numFmtId="3" fontId="33" fillId="0" borderId="15" xfId="0" applyNumberFormat="1" applyFont="1" applyBorder="1" applyAlignment="1">
      <alignment/>
    </xf>
    <xf numFmtId="0" fontId="23" fillId="24" borderId="21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28" fillId="28" borderId="18" xfId="0" applyFont="1" applyFill="1" applyBorder="1" applyAlignment="1">
      <alignment horizontal="center"/>
    </xf>
    <xf numFmtId="3" fontId="37" fillId="28" borderId="18" xfId="0" applyNumberFormat="1" applyFont="1" applyFill="1" applyBorder="1" applyAlignment="1">
      <alignment horizontal="right"/>
    </xf>
    <xf numFmtId="10" fontId="2" fillId="0" borderId="16" xfId="0" applyNumberFormat="1" applyFont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8" borderId="16" xfId="0" applyNumberFormat="1" applyFont="1" applyFill="1" applyBorder="1" applyAlignment="1">
      <alignment/>
    </xf>
    <xf numFmtId="10" fontId="2" fillId="0" borderId="30" xfId="0" applyNumberFormat="1" applyFont="1" applyBorder="1" applyAlignment="1">
      <alignment/>
    </xf>
    <xf numFmtId="10" fontId="2" fillId="7" borderId="30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6" xfId="0" applyNumberFormat="1" applyFont="1" applyFill="1" applyBorder="1" applyAlignment="1">
      <alignment/>
    </xf>
    <xf numFmtId="10" fontId="2" fillId="8" borderId="31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10" fontId="23" fillId="0" borderId="16" xfId="0" applyNumberFormat="1" applyFont="1" applyFill="1" applyBorder="1" applyAlignment="1">
      <alignment/>
    </xf>
    <xf numFmtId="10" fontId="2" fillId="24" borderId="30" xfId="0" applyNumberFormat="1" applyFont="1" applyFill="1" applyBorder="1" applyAlignment="1">
      <alignment/>
    </xf>
    <xf numFmtId="10" fontId="2" fillId="0" borderId="30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9" borderId="11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/>
    </xf>
    <xf numFmtId="3" fontId="2" fillId="29" borderId="22" xfId="0" applyNumberFormat="1" applyFont="1" applyFill="1" applyBorder="1" applyAlignment="1">
      <alignment/>
    </xf>
    <xf numFmtId="3" fontId="2" fillId="29" borderId="16" xfId="0" applyNumberFormat="1" applyFont="1" applyFill="1" applyBorder="1" applyAlignment="1">
      <alignment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0" fontId="28" fillId="8" borderId="40" xfId="0" applyFont="1" applyFill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0" fillId="0" borderId="35" xfId="0" applyBorder="1" applyAlignment="1">
      <alignment/>
    </xf>
    <xf numFmtId="0" fontId="29" fillId="29" borderId="11" xfId="0" applyFont="1" applyFill="1" applyBorder="1" applyAlignment="1">
      <alignment horizontal="center"/>
    </xf>
    <xf numFmtId="0" fontId="32" fillId="29" borderId="18" xfId="0" applyFont="1" applyFill="1" applyBorder="1" applyAlignment="1">
      <alignment horizontal="center"/>
    </xf>
    <xf numFmtId="3" fontId="2" fillId="29" borderId="11" xfId="0" applyNumberFormat="1" applyFont="1" applyFill="1" applyBorder="1" applyAlignment="1">
      <alignment horizontal="right"/>
    </xf>
    <xf numFmtId="0" fontId="32" fillId="29" borderId="11" xfId="0" applyFont="1" applyFill="1" applyBorder="1" applyAlignment="1">
      <alignment horizontal="center" vertical="center"/>
    </xf>
    <xf numFmtId="10" fontId="2" fillId="29" borderId="16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0" fontId="0" fillId="30" borderId="21" xfId="0" applyFill="1" applyBorder="1" applyAlignment="1">
      <alignment/>
    </xf>
    <xf numFmtId="3" fontId="2" fillId="30" borderId="18" xfId="0" applyNumberFormat="1" applyFont="1" applyFill="1" applyBorder="1" applyAlignment="1">
      <alignment/>
    </xf>
    <xf numFmtId="3" fontId="2" fillId="30" borderId="36" xfId="0" applyNumberFormat="1" applyFont="1" applyFill="1" applyBorder="1" applyAlignment="1">
      <alignment/>
    </xf>
    <xf numFmtId="3" fontId="2" fillId="30" borderId="31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9" borderId="25" xfId="0" applyFont="1" applyFill="1" applyBorder="1" applyAlignment="1">
      <alignment horizontal="center" vertical="center"/>
    </xf>
    <xf numFmtId="10" fontId="23" fillId="29" borderId="16" xfId="0" applyNumberFormat="1" applyFont="1" applyFill="1" applyBorder="1" applyAlignment="1">
      <alignment/>
    </xf>
    <xf numFmtId="10" fontId="23" fillId="8" borderId="16" xfId="0" applyNumberFormat="1" applyFont="1" applyFill="1" applyBorder="1" applyAlignment="1">
      <alignment/>
    </xf>
    <xf numFmtId="10" fontId="2" fillId="26" borderId="30" xfId="0" applyNumberFormat="1" applyFont="1" applyFill="1" applyBorder="1" applyAlignment="1">
      <alignment horizontal="right"/>
    </xf>
    <xf numFmtId="0" fontId="28" fillId="28" borderId="21" xfId="0" applyFont="1" applyFill="1" applyBorder="1" applyAlignment="1">
      <alignment horizontal="right"/>
    </xf>
    <xf numFmtId="10" fontId="37" fillId="28" borderId="3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2" xfId="0" applyFont="1" applyFill="1" applyBorder="1" applyAlignment="1">
      <alignment horizontal="right"/>
    </xf>
    <xf numFmtId="0" fontId="22" fillId="4" borderId="15" xfId="0" applyFont="1" applyFill="1" applyBorder="1" applyAlignment="1">
      <alignment/>
    </xf>
    <xf numFmtId="0" fontId="1" fillId="0" borderId="18" xfId="0" applyFont="1" applyBorder="1" applyAlignment="1">
      <alignment/>
    </xf>
    <xf numFmtId="0" fontId="28" fillId="0" borderId="18" xfId="0" applyFont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/>
    </xf>
    <xf numFmtId="0" fontId="30" fillId="4" borderId="15" xfId="0" applyFont="1" applyFill="1" applyBorder="1" applyAlignment="1">
      <alignment/>
    </xf>
    <xf numFmtId="3" fontId="30" fillId="4" borderId="15" xfId="0" applyNumberFormat="1" applyFont="1" applyFill="1" applyBorder="1" applyAlignment="1">
      <alignment/>
    </xf>
    <xf numFmtId="0" fontId="0" fillId="22" borderId="21" xfId="0" applyFont="1" applyFill="1" applyBorder="1" applyAlignment="1">
      <alignment/>
    </xf>
    <xf numFmtId="0" fontId="1" fillId="22" borderId="18" xfId="0" applyFont="1" applyFill="1" applyBorder="1" applyAlignment="1">
      <alignment horizontal="right"/>
    </xf>
    <xf numFmtId="3" fontId="22" fillId="22" borderId="18" xfId="0" applyNumberFormat="1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0" fillId="11" borderId="12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8" fillId="24" borderId="15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2" fillId="0" borderId="31" xfId="0" applyFont="1" applyBorder="1" applyAlignment="1">
      <alignment/>
    </xf>
    <xf numFmtId="0" fontId="22" fillId="20" borderId="12" xfId="0" applyFont="1" applyFill="1" applyBorder="1" applyAlignment="1">
      <alignment horizontal="center"/>
    </xf>
    <xf numFmtId="0" fontId="22" fillId="20" borderId="15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20" borderId="3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3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31" xfId="0" applyNumberFormat="1" applyFont="1" applyFill="1" applyBorder="1" applyAlignment="1">
      <alignment/>
    </xf>
    <xf numFmtId="0" fontId="32" fillId="30" borderId="18" xfId="0" applyFont="1" applyFill="1" applyBorder="1" applyAlignment="1">
      <alignment horizontal="center"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/>
    </xf>
    <xf numFmtId="0" fontId="32" fillId="3" borderId="2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31" xfId="0" applyNumberFormat="1" applyFont="1" applyBorder="1" applyAlignment="1">
      <alignment/>
    </xf>
    <xf numFmtId="10" fontId="22" fillId="0" borderId="16" xfId="0" applyNumberFormat="1" applyFont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4" fillId="24" borderId="30" xfId="0" applyNumberFormat="1" applyFont="1" applyFill="1" applyBorder="1" applyAlignment="1">
      <alignment/>
    </xf>
    <xf numFmtId="10" fontId="22" fillId="24" borderId="16" xfId="0" applyNumberFormat="1" applyFont="1" applyFill="1" applyBorder="1" applyAlignment="1">
      <alignment/>
    </xf>
    <xf numFmtId="10" fontId="22" fillId="0" borderId="30" xfId="0" applyNumberFormat="1" applyFont="1" applyBorder="1" applyAlignment="1">
      <alignment/>
    </xf>
    <xf numFmtId="10" fontId="24" fillId="4" borderId="16" xfId="0" applyNumberFormat="1" applyFont="1" applyFill="1" applyBorder="1" applyAlignment="1">
      <alignment/>
    </xf>
    <xf numFmtId="10" fontId="36" fillId="24" borderId="30" xfId="0" applyNumberFormat="1" applyFont="1" applyFill="1" applyBorder="1" applyAlignment="1">
      <alignment/>
    </xf>
    <xf numFmtId="10" fontId="22" fillId="22" borderId="31" xfId="0" applyNumberFormat="1" applyFont="1" applyFill="1" applyBorder="1" applyAlignment="1">
      <alignment/>
    </xf>
    <xf numFmtId="10" fontId="22" fillId="27" borderId="16" xfId="0" applyNumberFormat="1" applyFont="1" applyFill="1" applyBorder="1" applyAlignment="1">
      <alignment/>
    </xf>
    <xf numFmtId="10" fontId="22" fillId="0" borderId="16" xfId="0" applyNumberFormat="1" applyFont="1" applyFill="1" applyBorder="1" applyAlignment="1">
      <alignment/>
    </xf>
    <xf numFmtId="10" fontId="22" fillId="22" borderId="16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1" borderId="48" xfId="0" applyNumberFormat="1" applyFill="1" applyBorder="1" applyAlignment="1">
      <alignment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31" xfId="0" applyNumberFormat="1" applyFont="1" applyBorder="1" applyAlignment="1" quotePrefix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0" fontId="2" fillId="0" borderId="49" xfId="0" applyNumberFormat="1" applyFont="1" applyBorder="1" applyAlignment="1" quotePrefix="1">
      <alignment/>
    </xf>
    <xf numFmtId="0" fontId="0" fillId="32" borderId="21" xfId="0" applyFill="1" applyBorder="1" applyAlignment="1">
      <alignment/>
    </xf>
    <xf numFmtId="0" fontId="32" fillId="32" borderId="18" xfId="0" applyFont="1" applyFill="1" applyBorder="1" applyAlignment="1">
      <alignment horizontal="center" vertical="center"/>
    </xf>
    <xf numFmtId="3" fontId="2" fillId="32" borderId="18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10" fontId="2" fillId="24" borderId="11" xfId="0" applyNumberFormat="1" applyFont="1" applyFill="1" applyBorder="1" applyAlignment="1">
      <alignment/>
    </xf>
    <xf numFmtId="10" fontId="2" fillId="32" borderId="31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30" borderId="31" xfId="0" applyNumberFormat="1" applyFont="1" applyFill="1" applyBorder="1" applyAlignment="1">
      <alignment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0" xfId="0" applyNumberFormat="1" applyFont="1" applyFill="1" applyBorder="1" applyAlignment="1">
      <alignment/>
    </xf>
    <xf numFmtId="3" fontId="2" fillId="20" borderId="51" xfId="0" applyNumberFormat="1" applyFont="1" applyFill="1" applyBorder="1" applyAlignment="1">
      <alignment/>
    </xf>
    <xf numFmtId="3" fontId="2" fillId="20" borderId="52" xfId="0" applyNumberFormat="1" applyFont="1" applyFill="1" applyBorder="1" applyAlignment="1">
      <alignment/>
    </xf>
    <xf numFmtId="3" fontId="2" fillId="20" borderId="53" xfId="0" applyNumberFormat="1" applyFont="1" applyFill="1" applyBorder="1" applyAlignment="1">
      <alignment/>
    </xf>
    <xf numFmtId="3" fontId="2" fillId="20" borderId="54" xfId="0" applyNumberFormat="1" applyFont="1" applyFill="1" applyBorder="1" applyAlignment="1">
      <alignment/>
    </xf>
    <xf numFmtId="10" fontId="2" fillId="20" borderId="52" xfId="0" applyNumberFormat="1" applyFont="1" applyFill="1" applyBorder="1" applyAlignment="1">
      <alignment/>
    </xf>
    <xf numFmtId="0" fontId="31" fillId="22" borderId="11" xfId="0" applyFont="1" applyFill="1" applyBorder="1" applyAlignment="1">
      <alignment horizontal="center"/>
    </xf>
    <xf numFmtId="10" fontId="0" fillId="0" borderId="11" xfId="0" applyNumberFormat="1" applyBorder="1" applyAlignment="1">
      <alignment/>
    </xf>
    <xf numFmtId="3" fontId="30" fillId="22" borderId="11" xfId="0" applyNumberFormat="1" applyFont="1" applyFill="1" applyBorder="1" applyAlignment="1">
      <alignment/>
    </xf>
    <xf numFmtId="3" fontId="34" fillId="0" borderId="11" xfId="0" applyNumberFormat="1" applyFont="1" applyBorder="1" applyAlignment="1">
      <alignment/>
    </xf>
    <xf numFmtId="0" fontId="28" fillId="24" borderId="15" xfId="0" applyFont="1" applyFill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55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59" xfId="0" applyFont="1" applyFill="1" applyBorder="1" applyAlignment="1">
      <alignment horizontal="center"/>
    </xf>
    <xf numFmtId="0" fontId="25" fillId="22" borderId="44" xfId="0" applyFont="1" applyFill="1" applyBorder="1" applyAlignment="1">
      <alignment horizontal="center"/>
    </xf>
    <xf numFmtId="0" fontId="25" fillId="22" borderId="60" xfId="0" applyFont="1" applyFill="1" applyBorder="1" applyAlignment="1">
      <alignment horizontal="center"/>
    </xf>
    <xf numFmtId="0" fontId="25" fillId="22" borderId="52" xfId="0" applyFont="1" applyFill="1" applyBorder="1" applyAlignment="1">
      <alignment horizontal="center"/>
    </xf>
    <xf numFmtId="3" fontId="25" fillId="22" borderId="14" xfId="0" applyNumberFormat="1" applyFont="1" applyFill="1" applyBorder="1" applyAlignment="1">
      <alignment horizontal="center"/>
    </xf>
    <xf numFmtId="0" fontId="25" fillId="22" borderId="29" xfId="0" applyFont="1" applyFill="1" applyBorder="1" applyAlignment="1">
      <alignment horizontal="center"/>
    </xf>
    <xf numFmtId="0" fontId="25" fillId="22" borderId="38" xfId="0" applyFont="1" applyFill="1" applyBorder="1" applyAlignment="1">
      <alignment horizontal="center"/>
    </xf>
    <xf numFmtId="0" fontId="25" fillId="22" borderId="39" xfId="0" applyFont="1" applyFill="1" applyBorder="1" applyAlignment="1">
      <alignment horizontal="center"/>
    </xf>
    <xf numFmtId="0" fontId="22" fillId="4" borderId="61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4" borderId="62" xfId="0" applyFont="1" applyFill="1" applyBorder="1" applyAlignment="1">
      <alignment horizontal="center"/>
    </xf>
    <xf numFmtId="0" fontId="22" fillId="4" borderId="63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22" borderId="40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0" fillId="20" borderId="47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29" fillId="20" borderId="57" xfId="0" applyFont="1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9" fillId="20" borderId="66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5" fillId="20" borderId="26" xfId="0" applyFont="1" applyFill="1" applyBorder="1" applyAlignment="1">
      <alignment horizontal="center"/>
    </xf>
    <xf numFmtId="0" fontId="25" fillId="20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67" xfId="0" applyFont="1" applyFill="1" applyBorder="1" applyAlignment="1">
      <alignment horizontal="center" vertical="center"/>
    </xf>
    <xf numFmtId="0" fontId="23" fillId="8" borderId="68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34" xfId="0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1" xfId="0" applyNumberFormat="1" applyFont="1" applyFill="1" applyBorder="1" applyAlignment="1">
      <alignment horizontal="center" vertical="center"/>
    </xf>
    <xf numFmtId="0" fontId="26" fillId="20" borderId="55" xfId="0" applyFont="1" applyFill="1" applyBorder="1" applyAlignment="1">
      <alignment horizontal="center"/>
    </xf>
    <xf numFmtId="0" fontId="26" fillId="20" borderId="56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21"/>
  <sheetViews>
    <sheetView tabSelected="1" zoomScale="124" zoomScaleNormal="124" zoomScalePageLayoutView="0" workbookViewId="0" topLeftCell="A278">
      <selection activeCell="N9" sqref="N9"/>
    </sheetView>
  </sheetViews>
  <sheetFormatPr defaultColWidth="9.140625" defaultRowHeight="12.75"/>
  <cols>
    <col min="1" max="1" width="58.8515625" style="108" customWidth="1"/>
    <col min="2" max="2" width="11.140625" style="108" customWidth="1"/>
    <col min="3" max="3" width="12.140625" style="108" customWidth="1"/>
    <col min="4" max="4" width="12.421875" style="108" customWidth="1"/>
    <col min="5" max="6" width="12.7109375" style="108" hidden="1" customWidth="1"/>
    <col min="7" max="7" width="10.140625" style="108" hidden="1" customWidth="1"/>
    <col min="8" max="8" width="12.421875" style="108" hidden="1" customWidth="1"/>
    <col min="9" max="9" width="10.140625" style="108" hidden="1" customWidth="1"/>
    <col min="10" max="12" width="11.57421875" style="108" customWidth="1"/>
    <col min="13" max="13" width="12.140625" style="108" customWidth="1"/>
    <col min="14" max="14" width="10.7109375" style="108" bestFit="1" customWidth="1"/>
    <col min="15" max="15" width="10.140625" style="108" bestFit="1" customWidth="1"/>
    <col min="16" max="16" width="11.140625" style="108" bestFit="1" customWidth="1"/>
    <col min="17" max="17" width="11.140625" style="108" customWidth="1"/>
    <col min="18" max="18" width="11.421875" style="108" customWidth="1"/>
    <col min="19" max="19" width="12.57421875" style="108" customWidth="1"/>
    <col min="20" max="16384" width="9.140625" style="108" customWidth="1"/>
  </cols>
  <sheetData>
    <row r="1" spans="1:13" s="480" customFormat="1" ht="15">
      <c r="A1" s="476" t="s">
        <v>201</v>
      </c>
      <c r="K1" s="457" t="s">
        <v>273</v>
      </c>
      <c r="L1" s="457"/>
      <c r="M1" s="457"/>
    </row>
    <row r="2" spans="1:13" s="480" customFormat="1" ht="15">
      <c r="A2" s="476" t="s">
        <v>202</v>
      </c>
      <c r="K2" s="457"/>
      <c r="L2" s="457"/>
      <c r="M2" s="457"/>
    </row>
    <row r="3" spans="1:13" ht="12.75" customHeight="1">
      <c r="A3" s="410" t="s">
        <v>174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3" ht="12.75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</row>
    <row r="5" spans="1:13" ht="12.75" customHeight="1">
      <c r="A5" s="410"/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</row>
    <row r="6" spans="1:13" ht="19.5" customHeight="1">
      <c r="A6" s="409" t="s">
        <v>264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</row>
    <row r="7" spans="1:13" ht="12.75" customHeight="1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433" t="s">
        <v>173</v>
      </c>
      <c r="M7" s="433"/>
    </row>
    <row r="8" spans="1:14" ht="45">
      <c r="A8" s="399" t="s">
        <v>161</v>
      </c>
      <c r="B8" s="400"/>
      <c r="C8" s="340" t="s">
        <v>162</v>
      </c>
      <c r="D8" s="340" t="s">
        <v>163</v>
      </c>
      <c r="E8" s="341"/>
      <c r="F8" s="341"/>
      <c r="G8" s="341"/>
      <c r="H8" s="341"/>
      <c r="I8" s="341"/>
      <c r="J8" s="340" t="s">
        <v>164</v>
      </c>
      <c r="K8" s="340" t="s">
        <v>165</v>
      </c>
      <c r="L8" s="340" t="s">
        <v>166</v>
      </c>
      <c r="M8" s="340" t="s">
        <v>167</v>
      </c>
      <c r="N8" s="342" t="s">
        <v>274</v>
      </c>
    </row>
    <row r="9" spans="1:14" ht="16.5" thickBot="1">
      <c r="A9" s="343"/>
      <c r="B9" s="294"/>
      <c r="C9" s="295">
        <v>1</v>
      </c>
      <c r="D9" s="295">
        <v>2</v>
      </c>
      <c r="E9" s="296"/>
      <c r="F9" s="296"/>
      <c r="G9" s="296"/>
      <c r="H9" s="296"/>
      <c r="I9" s="296"/>
      <c r="J9" s="295">
        <v>3</v>
      </c>
      <c r="K9" s="295">
        <v>4</v>
      </c>
      <c r="L9" s="295">
        <v>5</v>
      </c>
      <c r="M9" s="295" t="s">
        <v>170</v>
      </c>
      <c r="N9" s="344"/>
    </row>
    <row r="10" spans="1:14" ht="24.75" customHeight="1" thickBot="1">
      <c r="A10" s="300" t="s">
        <v>11</v>
      </c>
      <c r="B10" s="301" t="s">
        <v>168</v>
      </c>
      <c r="C10" s="302">
        <f>C11+C12+C21+C16+C18</f>
        <v>29300000</v>
      </c>
      <c r="D10" s="302">
        <f aca="true" t="shared" si="0" ref="D10:M10">D11+D12+D21+D16+D18</f>
        <v>16975000</v>
      </c>
      <c r="E10" s="302">
        <f t="shared" si="0"/>
        <v>19479000</v>
      </c>
      <c r="F10" s="302">
        <f t="shared" si="0"/>
        <v>19479000</v>
      </c>
      <c r="G10" s="302">
        <f t="shared" si="0"/>
        <v>19479000</v>
      </c>
      <c r="H10" s="302">
        <f t="shared" si="0"/>
        <v>19479000</v>
      </c>
      <c r="I10" s="302">
        <f t="shared" si="0"/>
        <v>19479000</v>
      </c>
      <c r="J10" s="302">
        <f t="shared" si="0"/>
        <v>28107627</v>
      </c>
      <c r="K10" s="302">
        <f t="shared" si="0"/>
        <v>28107627</v>
      </c>
      <c r="L10" s="302">
        <f t="shared" si="0"/>
        <v>13881485</v>
      </c>
      <c r="M10" s="302">
        <f t="shared" si="0"/>
        <v>14226142</v>
      </c>
      <c r="N10" s="303">
        <f>L10/C10</f>
        <v>0.47377081911262797</v>
      </c>
    </row>
    <row r="11" spans="1:14" ht="15">
      <c r="A11" s="297" t="s">
        <v>156</v>
      </c>
      <c r="B11" s="407" t="s">
        <v>10</v>
      </c>
      <c r="C11" s="298">
        <v>25830000</v>
      </c>
      <c r="D11" s="298">
        <f>7110000+7155000</f>
        <v>14265000</v>
      </c>
      <c r="E11" s="298"/>
      <c r="F11" s="298"/>
      <c r="G11" s="299"/>
      <c r="H11" s="345"/>
      <c r="I11" s="345"/>
      <c r="J11" s="298">
        <v>25830000</v>
      </c>
      <c r="K11" s="298">
        <v>25830000</v>
      </c>
      <c r="L11" s="298">
        <v>12441283</v>
      </c>
      <c r="M11" s="298">
        <f>J11-L11</f>
        <v>13388717</v>
      </c>
      <c r="N11" s="346">
        <f>L11/C11</f>
        <v>0.4816602013162989</v>
      </c>
    </row>
    <row r="12" spans="1:14" ht="15.75" customHeight="1">
      <c r="A12" s="112" t="s">
        <v>157</v>
      </c>
      <c r="B12" s="407"/>
      <c r="C12" s="115">
        <v>3300000</v>
      </c>
      <c r="D12" s="115">
        <f>1100000+1500000</f>
        <v>2600000</v>
      </c>
      <c r="E12" s="115"/>
      <c r="F12" s="115"/>
      <c r="G12" s="151"/>
      <c r="H12" s="423"/>
      <c r="I12" s="424"/>
      <c r="J12" s="115">
        <v>2231175</v>
      </c>
      <c r="K12" s="115">
        <v>2231175</v>
      </c>
      <c r="L12" s="115">
        <v>1516188</v>
      </c>
      <c r="M12" s="115">
        <f aca="true" t="shared" si="1" ref="M12:M20">J12-L12</f>
        <v>714987</v>
      </c>
      <c r="N12" s="347">
        <f aca="true" t="shared" si="2" ref="N12:N20">L12/C12</f>
        <v>0.4594509090909091</v>
      </c>
    </row>
    <row r="13" spans="1:14" ht="15" customHeight="1" hidden="1">
      <c r="A13" s="112" t="s">
        <v>0</v>
      </c>
      <c r="B13" s="407"/>
      <c r="C13" s="113">
        <f aca="true" t="shared" si="3" ref="C13:C20">D13+E13+F13+G13</f>
        <v>0</v>
      </c>
      <c r="D13" s="113"/>
      <c r="E13" s="113"/>
      <c r="F13" s="113"/>
      <c r="G13" s="114"/>
      <c r="H13" s="117"/>
      <c r="I13" s="118"/>
      <c r="J13" s="113"/>
      <c r="K13" s="113"/>
      <c r="L13" s="113"/>
      <c r="M13" s="113">
        <f t="shared" si="1"/>
        <v>0</v>
      </c>
      <c r="N13" s="347" t="e">
        <f t="shared" si="2"/>
        <v>#DIV/0!</v>
      </c>
    </row>
    <row r="14" spans="1:14" ht="15" customHeight="1" hidden="1">
      <c r="A14" s="112" t="s">
        <v>1</v>
      </c>
      <c r="B14" s="407"/>
      <c r="C14" s="113">
        <f t="shared" si="3"/>
        <v>0</v>
      </c>
      <c r="D14" s="113"/>
      <c r="E14" s="113"/>
      <c r="F14" s="113"/>
      <c r="G14" s="114"/>
      <c r="H14" s="117"/>
      <c r="I14" s="118"/>
      <c r="J14" s="113"/>
      <c r="K14" s="113"/>
      <c r="L14" s="113"/>
      <c r="M14" s="113">
        <f t="shared" si="1"/>
        <v>0</v>
      </c>
      <c r="N14" s="347" t="e">
        <f t="shared" si="2"/>
        <v>#DIV/0!</v>
      </c>
    </row>
    <row r="15" spans="1:14" ht="15" customHeight="1" hidden="1">
      <c r="A15" s="112" t="s">
        <v>155</v>
      </c>
      <c r="B15" s="407"/>
      <c r="C15" s="113">
        <f t="shared" si="3"/>
        <v>0</v>
      </c>
      <c r="D15" s="113"/>
      <c r="E15" s="113"/>
      <c r="F15" s="113"/>
      <c r="G15" s="114"/>
      <c r="H15" s="117"/>
      <c r="I15" s="118"/>
      <c r="J15" s="113"/>
      <c r="K15" s="113"/>
      <c r="L15" s="113"/>
      <c r="M15" s="113">
        <f t="shared" si="1"/>
        <v>0</v>
      </c>
      <c r="N15" s="347" t="e">
        <f t="shared" si="2"/>
        <v>#DIV/0!</v>
      </c>
    </row>
    <row r="16" spans="1:14" ht="15" customHeight="1" hidden="1">
      <c r="A16" s="112" t="s">
        <v>240</v>
      </c>
      <c r="B16" s="407"/>
      <c r="C16" s="113">
        <v>0</v>
      </c>
      <c r="D16" s="113">
        <v>0</v>
      </c>
      <c r="E16" s="113"/>
      <c r="F16" s="113"/>
      <c r="G16" s="114"/>
      <c r="H16" s="117"/>
      <c r="I16" s="118"/>
      <c r="J16" s="113"/>
      <c r="K16" s="113"/>
      <c r="L16" s="113"/>
      <c r="M16" s="113">
        <f t="shared" si="1"/>
        <v>0</v>
      </c>
      <c r="N16" s="347" t="e">
        <f t="shared" si="2"/>
        <v>#DIV/0!</v>
      </c>
    </row>
    <row r="17" spans="1:14" ht="15" customHeight="1" hidden="1">
      <c r="A17" s="112" t="s">
        <v>3</v>
      </c>
      <c r="B17" s="407"/>
      <c r="C17" s="113">
        <f t="shared" si="3"/>
        <v>0</v>
      </c>
      <c r="D17" s="113"/>
      <c r="E17" s="113"/>
      <c r="F17" s="113"/>
      <c r="G17" s="114"/>
      <c r="H17" s="117"/>
      <c r="I17" s="118"/>
      <c r="J17" s="113"/>
      <c r="K17" s="113"/>
      <c r="L17" s="113"/>
      <c r="M17" s="113">
        <f t="shared" si="1"/>
        <v>0</v>
      </c>
      <c r="N17" s="347" t="e">
        <f t="shared" si="2"/>
        <v>#DIV/0!</v>
      </c>
    </row>
    <row r="18" spans="1:14" ht="15">
      <c r="A18" s="112" t="s">
        <v>4</v>
      </c>
      <c r="B18" s="408"/>
      <c r="C18" s="113">
        <v>170000</v>
      </c>
      <c r="D18" s="113">
        <v>110000</v>
      </c>
      <c r="E18" s="113"/>
      <c r="F18" s="113"/>
      <c r="G18" s="114"/>
      <c r="H18" s="117"/>
      <c r="I18" s="118"/>
      <c r="J18" s="113">
        <v>170000</v>
      </c>
      <c r="K18" s="113">
        <v>170000</v>
      </c>
      <c r="L18" s="113">
        <v>47562</v>
      </c>
      <c r="M18" s="113">
        <f t="shared" si="1"/>
        <v>122438</v>
      </c>
      <c r="N18" s="347">
        <f t="shared" si="2"/>
        <v>0.2797764705882353</v>
      </c>
    </row>
    <row r="19" spans="1:14" ht="15" hidden="1">
      <c r="A19" s="112" t="s">
        <v>5</v>
      </c>
      <c r="B19" s="116"/>
      <c r="C19" s="113">
        <f t="shared" si="3"/>
        <v>0</v>
      </c>
      <c r="D19" s="113"/>
      <c r="E19" s="113"/>
      <c r="F19" s="113"/>
      <c r="G19" s="114"/>
      <c r="H19" s="117"/>
      <c r="I19" s="118"/>
      <c r="J19" s="113"/>
      <c r="K19" s="113"/>
      <c r="L19" s="113"/>
      <c r="M19" s="113">
        <f t="shared" si="1"/>
        <v>0</v>
      </c>
      <c r="N19" s="347" t="e">
        <f t="shared" si="2"/>
        <v>#DIV/0!</v>
      </c>
    </row>
    <row r="20" spans="1:14" ht="15" hidden="1">
      <c r="A20" s="112" t="s">
        <v>6</v>
      </c>
      <c r="B20" s="116"/>
      <c r="C20" s="113">
        <f t="shared" si="3"/>
        <v>0</v>
      </c>
      <c r="D20" s="113"/>
      <c r="E20" s="113"/>
      <c r="F20" s="113"/>
      <c r="G20" s="114"/>
      <c r="H20" s="117"/>
      <c r="I20" s="118"/>
      <c r="J20" s="113"/>
      <c r="K20" s="113"/>
      <c r="L20" s="113"/>
      <c r="M20" s="113">
        <f t="shared" si="1"/>
        <v>0</v>
      </c>
      <c r="N20" s="347" t="e">
        <f t="shared" si="2"/>
        <v>#DIV/0!</v>
      </c>
    </row>
    <row r="21" spans="1:14" ht="15">
      <c r="A21" s="119" t="s">
        <v>7</v>
      </c>
      <c r="B21" s="116"/>
      <c r="C21" s="113"/>
      <c r="D21" s="120"/>
      <c r="E21" s="120">
        <f>E24</f>
        <v>-4991</v>
      </c>
      <c r="F21" s="120">
        <f>F24</f>
        <v>-4991</v>
      </c>
      <c r="G21" s="120">
        <f>G24</f>
        <v>-4991</v>
      </c>
      <c r="H21" s="120">
        <f>H24</f>
        <v>-4991</v>
      </c>
      <c r="I21" s="120">
        <f>I24</f>
        <v>-4991</v>
      </c>
      <c r="J21" s="120">
        <f>K21</f>
        <v>-123548</v>
      </c>
      <c r="K21" s="120">
        <f>L21</f>
        <v>-123548</v>
      </c>
      <c r="L21" s="120">
        <v>-123548</v>
      </c>
      <c r="M21" s="113"/>
      <c r="N21" s="347"/>
    </row>
    <row r="22" spans="1:14" ht="15">
      <c r="A22" s="121" t="s">
        <v>8</v>
      </c>
      <c r="B22" s="116"/>
      <c r="C22" s="113"/>
      <c r="D22" s="113"/>
      <c r="E22" s="113"/>
      <c r="F22" s="113"/>
      <c r="G22" s="114"/>
      <c r="H22" s="117" t="s">
        <v>108</v>
      </c>
      <c r="I22" s="122">
        <f>C11+C12</f>
        <v>29130000</v>
      </c>
      <c r="J22" s="113"/>
      <c r="K22" s="113"/>
      <c r="L22" s="113"/>
      <c r="M22" s="113"/>
      <c r="N22" s="347"/>
    </row>
    <row r="23" spans="1:14" ht="14.25">
      <c r="A23" s="123" t="s">
        <v>9</v>
      </c>
      <c r="B23" s="124" t="s">
        <v>10</v>
      </c>
      <c r="C23" s="125">
        <f>C11+C12+C16+C18</f>
        <v>29300000</v>
      </c>
      <c r="D23" s="125">
        <f aca="true" t="shared" si="4" ref="D23:M23">D11+D12+D16+D18</f>
        <v>16975000</v>
      </c>
      <c r="E23" s="125">
        <f t="shared" si="4"/>
        <v>0</v>
      </c>
      <c r="F23" s="125">
        <f t="shared" si="4"/>
        <v>0</v>
      </c>
      <c r="G23" s="125">
        <f t="shared" si="4"/>
        <v>0</v>
      </c>
      <c r="H23" s="125">
        <f t="shared" si="4"/>
        <v>0</v>
      </c>
      <c r="I23" s="125">
        <f t="shared" si="4"/>
        <v>0</v>
      </c>
      <c r="J23" s="125">
        <f t="shared" si="4"/>
        <v>28231175</v>
      </c>
      <c r="K23" s="125">
        <f t="shared" si="4"/>
        <v>28231175</v>
      </c>
      <c r="L23" s="125">
        <f t="shared" si="4"/>
        <v>14005033</v>
      </c>
      <c r="M23" s="125">
        <f t="shared" si="4"/>
        <v>14226142</v>
      </c>
      <c r="N23" s="348">
        <f>L23/C23</f>
        <v>0.4779874744027304</v>
      </c>
    </row>
    <row r="24" spans="1:14" ht="15" thickBot="1">
      <c r="A24" s="304" t="s">
        <v>7</v>
      </c>
      <c r="B24" s="174"/>
      <c r="C24" s="162"/>
      <c r="D24" s="162"/>
      <c r="E24" s="162">
        <f aca="true" t="shared" si="5" ref="E24:L24">E21</f>
        <v>0</v>
      </c>
      <c r="F24" s="162">
        <f t="shared" si="5"/>
        <v>0</v>
      </c>
      <c r="G24" s="162">
        <f t="shared" si="5"/>
        <v>0</v>
      </c>
      <c r="H24" s="162">
        <f t="shared" si="5"/>
        <v>0</v>
      </c>
      <c r="I24" s="162">
        <f t="shared" si="5"/>
        <v>0</v>
      </c>
      <c r="J24" s="164">
        <f t="shared" si="5"/>
        <v>-123548</v>
      </c>
      <c r="K24" s="164">
        <f t="shared" si="5"/>
        <v>-123548</v>
      </c>
      <c r="L24" s="164">
        <f t="shared" si="5"/>
        <v>-123548</v>
      </c>
      <c r="M24" s="162"/>
      <c r="N24" s="349"/>
    </row>
    <row r="25" spans="1:14" ht="24.75" customHeight="1" thickBot="1">
      <c r="A25" s="300" t="s">
        <v>15</v>
      </c>
      <c r="B25" s="301" t="s">
        <v>168</v>
      </c>
      <c r="C25" s="302">
        <f>C26+C27+C28+C33</f>
        <v>2062000</v>
      </c>
      <c r="D25" s="302">
        <f aca="true" t="shared" si="6" ref="D25:M25">D26+D27+D28+D33</f>
        <v>1211500</v>
      </c>
      <c r="E25" s="302">
        <f t="shared" si="6"/>
        <v>0</v>
      </c>
      <c r="F25" s="302">
        <f t="shared" si="6"/>
        <v>0</v>
      </c>
      <c r="G25" s="302">
        <f t="shared" si="6"/>
        <v>0</v>
      </c>
      <c r="H25" s="302">
        <f t="shared" si="6"/>
        <v>0</v>
      </c>
      <c r="I25" s="302">
        <f t="shared" si="6"/>
        <v>0</v>
      </c>
      <c r="J25" s="302">
        <f t="shared" si="6"/>
        <v>1994815</v>
      </c>
      <c r="K25" s="302">
        <f t="shared" si="6"/>
        <v>1994815</v>
      </c>
      <c r="L25" s="302">
        <f t="shared" si="6"/>
        <v>970214</v>
      </c>
      <c r="M25" s="302">
        <f t="shared" si="6"/>
        <v>1024601</v>
      </c>
      <c r="N25" s="303">
        <f>L25/C25</f>
        <v>0.4705208535402522</v>
      </c>
    </row>
    <row r="26" spans="1:14" ht="15">
      <c r="A26" s="297" t="s">
        <v>156</v>
      </c>
      <c r="B26" s="407" t="s">
        <v>13</v>
      </c>
      <c r="C26" s="298">
        <v>1960000</v>
      </c>
      <c r="D26" s="298">
        <f>492000+647000</f>
        <v>1139000</v>
      </c>
      <c r="E26" s="298"/>
      <c r="F26" s="298"/>
      <c r="G26" s="299"/>
      <c r="H26" s="345"/>
      <c r="I26" s="345"/>
      <c r="J26" s="298">
        <v>1955000</v>
      </c>
      <c r="K26" s="298">
        <v>1955000</v>
      </c>
      <c r="L26" s="298">
        <v>946768</v>
      </c>
      <c r="M26" s="298">
        <f>J26-L26</f>
        <v>1008232</v>
      </c>
      <c r="N26" s="346">
        <f>L26/C26</f>
        <v>0.48304489795918365</v>
      </c>
    </row>
    <row r="27" spans="1:14" ht="15">
      <c r="A27" s="112" t="s">
        <v>157</v>
      </c>
      <c r="B27" s="408"/>
      <c r="C27" s="113">
        <v>70000</v>
      </c>
      <c r="D27" s="113">
        <v>50000</v>
      </c>
      <c r="E27" s="113"/>
      <c r="F27" s="113"/>
      <c r="G27" s="114"/>
      <c r="H27" s="421"/>
      <c r="I27" s="422"/>
      <c r="J27" s="113">
        <v>17815</v>
      </c>
      <c r="K27" s="113">
        <v>17815</v>
      </c>
      <c r="L27" s="113">
        <v>12600</v>
      </c>
      <c r="M27" s="113">
        <f>J27-L27</f>
        <v>5215</v>
      </c>
      <c r="N27" s="347">
        <f aca="true" t="shared" si="7" ref="N27:N33">L27/C27</f>
        <v>0.18</v>
      </c>
    </row>
    <row r="28" spans="1:14" ht="15">
      <c r="A28" s="112" t="s">
        <v>231</v>
      </c>
      <c r="B28" s="127" t="s">
        <v>232</v>
      </c>
      <c r="C28" s="113">
        <v>10000</v>
      </c>
      <c r="D28" s="113">
        <v>10000</v>
      </c>
      <c r="E28" s="113"/>
      <c r="F28" s="113"/>
      <c r="G28" s="114"/>
      <c r="H28" s="117"/>
      <c r="I28" s="118"/>
      <c r="J28" s="113"/>
      <c r="K28" s="113"/>
      <c r="L28" s="113"/>
      <c r="M28" s="113">
        <f aca="true" t="shared" si="8" ref="M28:M33">J28-L28</f>
        <v>0</v>
      </c>
      <c r="N28" s="347"/>
    </row>
    <row r="29" spans="1:14" ht="15" hidden="1">
      <c r="A29" s="112" t="s">
        <v>1</v>
      </c>
      <c r="B29" s="116"/>
      <c r="C29" s="113">
        <f aca="true" t="shared" si="9" ref="C29:C35">D29+E29+F29+G29</f>
        <v>0</v>
      </c>
      <c r="D29" s="113"/>
      <c r="E29" s="113"/>
      <c r="F29" s="113"/>
      <c r="G29" s="114"/>
      <c r="H29" s="117"/>
      <c r="I29" s="118"/>
      <c r="J29" s="113"/>
      <c r="K29" s="113"/>
      <c r="L29" s="113"/>
      <c r="M29" s="113">
        <f t="shared" si="8"/>
        <v>0</v>
      </c>
      <c r="N29" s="347" t="e">
        <f t="shared" si="7"/>
        <v>#DIV/0!</v>
      </c>
    </row>
    <row r="30" spans="1:14" ht="15" hidden="1">
      <c r="A30" s="112" t="s">
        <v>155</v>
      </c>
      <c r="B30" s="116"/>
      <c r="C30" s="113">
        <f t="shared" si="9"/>
        <v>0</v>
      </c>
      <c r="D30" s="113"/>
      <c r="E30" s="113"/>
      <c r="F30" s="113"/>
      <c r="G30" s="114"/>
      <c r="H30" s="117"/>
      <c r="I30" s="118"/>
      <c r="J30" s="113"/>
      <c r="K30" s="113"/>
      <c r="L30" s="113"/>
      <c r="M30" s="113">
        <f t="shared" si="8"/>
        <v>0</v>
      </c>
      <c r="N30" s="347" t="e">
        <f t="shared" si="7"/>
        <v>#DIV/0!</v>
      </c>
    </row>
    <row r="31" spans="1:14" ht="15" hidden="1">
      <c r="A31" s="112" t="s">
        <v>2</v>
      </c>
      <c r="B31" s="116"/>
      <c r="C31" s="113">
        <f t="shared" si="9"/>
        <v>0</v>
      </c>
      <c r="D31" s="113"/>
      <c r="E31" s="113"/>
      <c r="F31" s="113"/>
      <c r="G31" s="114"/>
      <c r="H31" s="117"/>
      <c r="I31" s="118"/>
      <c r="J31" s="113"/>
      <c r="K31" s="113"/>
      <c r="L31" s="113"/>
      <c r="M31" s="113">
        <f t="shared" si="8"/>
        <v>0</v>
      </c>
      <c r="N31" s="347" t="e">
        <f t="shared" si="7"/>
        <v>#DIV/0!</v>
      </c>
    </row>
    <row r="32" spans="1:14" ht="15" hidden="1">
      <c r="A32" s="112" t="s">
        <v>3</v>
      </c>
      <c r="B32" s="116"/>
      <c r="C32" s="113">
        <f t="shared" si="9"/>
        <v>0</v>
      </c>
      <c r="D32" s="113"/>
      <c r="E32" s="113"/>
      <c r="F32" s="113"/>
      <c r="G32" s="114"/>
      <c r="H32" s="117"/>
      <c r="I32" s="118"/>
      <c r="J32" s="113"/>
      <c r="K32" s="113"/>
      <c r="L32" s="113"/>
      <c r="M32" s="113">
        <f t="shared" si="8"/>
        <v>0</v>
      </c>
      <c r="N32" s="347" t="e">
        <f t="shared" si="7"/>
        <v>#DIV/0!</v>
      </c>
    </row>
    <row r="33" spans="1:14" ht="15">
      <c r="A33" s="112" t="s">
        <v>4</v>
      </c>
      <c r="B33" s="238" t="s">
        <v>13</v>
      </c>
      <c r="C33" s="113">
        <v>22000</v>
      </c>
      <c r="D33" s="113">
        <v>12500</v>
      </c>
      <c r="E33" s="113"/>
      <c r="F33" s="113"/>
      <c r="G33" s="114"/>
      <c r="H33" s="117"/>
      <c r="I33" s="118"/>
      <c r="J33" s="113">
        <v>22000</v>
      </c>
      <c r="K33" s="113">
        <v>22000</v>
      </c>
      <c r="L33" s="113">
        <v>10846</v>
      </c>
      <c r="M33" s="113">
        <f t="shared" si="8"/>
        <v>11154</v>
      </c>
      <c r="N33" s="347">
        <f t="shared" si="7"/>
        <v>0.493</v>
      </c>
    </row>
    <row r="34" spans="1:14" ht="15" hidden="1">
      <c r="A34" s="112" t="s">
        <v>5</v>
      </c>
      <c r="B34" s="116"/>
      <c r="C34" s="113">
        <f t="shared" si="9"/>
        <v>0</v>
      </c>
      <c r="D34" s="113"/>
      <c r="E34" s="113"/>
      <c r="F34" s="113"/>
      <c r="G34" s="114"/>
      <c r="H34" s="117"/>
      <c r="I34" s="118"/>
      <c r="J34" s="113"/>
      <c r="K34" s="113"/>
      <c r="L34" s="113"/>
      <c r="M34" s="113"/>
      <c r="N34" s="347"/>
    </row>
    <row r="35" spans="1:14" ht="15" hidden="1">
      <c r="A35" s="112" t="s">
        <v>6</v>
      </c>
      <c r="B35" s="116"/>
      <c r="C35" s="113">
        <f t="shared" si="9"/>
        <v>0</v>
      </c>
      <c r="D35" s="113"/>
      <c r="E35" s="113"/>
      <c r="F35" s="113"/>
      <c r="G35" s="114"/>
      <c r="H35" s="117"/>
      <c r="I35" s="118"/>
      <c r="J35" s="113"/>
      <c r="K35" s="113"/>
      <c r="L35" s="113"/>
      <c r="M35" s="113"/>
      <c r="N35" s="347"/>
    </row>
    <row r="36" spans="1:14" ht="15">
      <c r="A36" s="119" t="s">
        <v>7</v>
      </c>
      <c r="B36" s="116"/>
      <c r="C36" s="113"/>
      <c r="D36" s="113"/>
      <c r="E36" s="113"/>
      <c r="F36" s="113"/>
      <c r="G36" s="114"/>
      <c r="H36" s="117"/>
      <c r="I36" s="118"/>
      <c r="J36" s="113"/>
      <c r="K36" s="113"/>
      <c r="L36" s="113"/>
      <c r="M36" s="113"/>
      <c r="N36" s="347"/>
    </row>
    <row r="37" spans="1:14" ht="15">
      <c r="A37" s="121" t="s">
        <v>8</v>
      </c>
      <c r="B37" s="116"/>
      <c r="C37" s="113"/>
      <c r="D37" s="113"/>
      <c r="E37" s="113"/>
      <c r="F37" s="113"/>
      <c r="G37" s="114"/>
      <c r="H37" s="117" t="s">
        <v>108</v>
      </c>
      <c r="I37" s="122">
        <f>C26+C27</f>
        <v>2030000</v>
      </c>
      <c r="J37" s="113"/>
      <c r="K37" s="113"/>
      <c r="L37" s="113"/>
      <c r="M37" s="113"/>
      <c r="N37" s="347"/>
    </row>
    <row r="38" spans="1:14" ht="15">
      <c r="A38" s="128" t="s">
        <v>231</v>
      </c>
      <c r="B38" s="124" t="s">
        <v>232</v>
      </c>
      <c r="C38" s="129">
        <f>C28</f>
        <v>10000</v>
      </c>
      <c r="D38" s="129">
        <f aca="true" t="shared" si="10" ref="D38:M38">D28</f>
        <v>10000</v>
      </c>
      <c r="E38" s="129">
        <f t="shared" si="10"/>
        <v>0</v>
      </c>
      <c r="F38" s="129">
        <f t="shared" si="10"/>
        <v>0</v>
      </c>
      <c r="G38" s="129">
        <f t="shared" si="10"/>
        <v>0</v>
      </c>
      <c r="H38" s="129">
        <f t="shared" si="10"/>
        <v>0</v>
      </c>
      <c r="I38" s="129">
        <f t="shared" si="10"/>
        <v>0</v>
      </c>
      <c r="J38" s="129">
        <f t="shared" si="10"/>
        <v>0</v>
      </c>
      <c r="K38" s="129">
        <f t="shared" si="10"/>
        <v>0</v>
      </c>
      <c r="L38" s="129">
        <f t="shared" si="10"/>
        <v>0</v>
      </c>
      <c r="M38" s="129">
        <f t="shared" si="10"/>
        <v>0</v>
      </c>
      <c r="N38" s="350"/>
    </row>
    <row r="39" spans="1:14" ht="14.25">
      <c r="A39" s="123" t="s">
        <v>12</v>
      </c>
      <c r="B39" s="124" t="s">
        <v>13</v>
      </c>
      <c r="C39" s="125">
        <f>C27+C26+C33</f>
        <v>2052000</v>
      </c>
      <c r="D39" s="125">
        <f aca="true" t="shared" si="11" ref="D39:M39">D27+D26+D33</f>
        <v>1201500</v>
      </c>
      <c r="E39" s="125">
        <f t="shared" si="11"/>
        <v>0</v>
      </c>
      <c r="F39" s="125">
        <f t="shared" si="11"/>
        <v>0</v>
      </c>
      <c r="G39" s="125">
        <f t="shared" si="11"/>
        <v>0</v>
      </c>
      <c r="H39" s="125">
        <f t="shared" si="11"/>
        <v>0</v>
      </c>
      <c r="I39" s="125">
        <f t="shared" si="11"/>
        <v>0</v>
      </c>
      <c r="J39" s="125">
        <f t="shared" si="11"/>
        <v>1994815</v>
      </c>
      <c r="K39" s="125">
        <f t="shared" si="11"/>
        <v>1994815</v>
      </c>
      <c r="L39" s="125">
        <f t="shared" si="11"/>
        <v>970214</v>
      </c>
      <c r="M39" s="125">
        <f t="shared" si="11"/>
        <v>1024601</v>
      </c>
      <c r="N39" s="348">
        <f>L39/C39</f>
        <v>0.4728138401559454</v>
      </c>
    </row>
    <row r="40" spans="1:14" ht="15.75" thickBot="1">
      <c r="A40" s="304" t="s">
        <v>7</v>
      </c>
      <c r="B40" s="174"/>
      <c r="C40" s="162"/>
      <c r="D40" s="162"/>
      <c r="E40" s="162"/>
      <c r="F40" s="162"/>
      <c r="G40" s="162"/>
      <c r="H40" s="305"/>
      <c r="I40" s="177"/>
      <c r="J40" s="162">
        <f>J36</f>
        <v>0</v>
      </c>
      <c r="K40" s="162">
        <f>K36</f>
        <v>0</v>
      </c>
      <c r="L40" s="162">
        <f>L36</f>
        <v>0</v>
      </c>
      <c r="M40" s="162"/>
      <c r="N40" s="349"/>
    </row>
    <row r="41" spans="1:14" ht="24.75" customHeight="1" thickBot="1">
      <c r="A41" s="300" t="s">
        <v>24</v>
      </c>
      <c r="B41" s="301" t="s">
        <v>168</v>
      </c>
      <c r="C41" s="302">
        <f>C42+C43</f>
        <v>3309000</v>
      </c>
      <c r="D41" s="302">
        <f aca="true" t="shared" si="12" ref="D41:M41">D42+D43</f>
        <v>2838000</v>
      </c>
      <c r="E41" s="302">
        <f t="shared" si="12"/>
        <v>2760700</v>
      </c>
      <c r="F41" s="302">
        <f t="shared" si="12"/>
        <v>630700</v>
      </c>
      <c r="G41" s="302">
        <f t="shared" si="12"/>
        <v>1408100</v>
      </c>
      <c r="H41" s="302" t="e">
        <f t="shared" si="12"/>
        <v>#VALUE!</v>
      </c>
      <c r="I41" s="302">
        <f t="shared" si="12"/>
        <v>3309000</v>
      </c>
      <c r="J41" s="302">
        <f>J42+J43+J44</f>
        <v>3309000</v>
      </c>
      <c r="K41" s="302">
        <f>K42+K43+K44</f>
        <v>3309000</v>
      </c>
      <c r="L41" s="302">
        <f>L42+L43+L44</f>
        <v>1351806</v>
      </c>
      <c r="M41" s="302">
        <f t="shared" si="12"/>
        <v>1957194</v>
      </c>
      <c r="N41" s="303">
        <f>L41/C41</f>
        <v>0.4085240253853128</v>
      </c>
    </row>
    <row r="42" spans="1:14" ht="15">
      <c r="A42" s="297" t="s">
        <v>0</v>
      </c>
      <c r="B42" s="306"/>
      <c r="C42" s="298">
        <v>3238000</v>
      </c>
      <c r="D42" s="298">
        <f>1214000+1624000</f>
        <v>2838000</v>
      </c>
      <c r="E42" s="298">
        <v>2730000</v>
      </c>
      <c r="F42" s="298">
        <v>620000</v>
      </c>
      <c r="G42" s="299">
        <v>1310000</v>
      </c>
      <c r="H42" s="425" t="s">
        <v>119</v>
      </c>
      <c r="I42" s="426"/>
      <c r="J42" s="298">
        <v>3238000</v>
      </c>
      <c r="K42" s="298">
        <v>3238000</v>
      </c>
      <c r="L42" s="298">
        <v>1351806</v>
      </c>
      <c r="M42" s="298">
        <f>J42-L42</f>
        <v>1886194</v>
      </c>
      <c r="N42" s="346">
        <f>L42/C42</f>
        <v>0.4174817788758493</v>
      </c>
    </row>
    <row r="43" spans="1:14" ht="15">
      <c r="A43" s="131" t="s">
        <v>14</v>
      </c>
      <c r="B43" s="132"/>
      <c r="C43" s="133">
        <v>71000</v>
      </c>
      <c r="D43" s="133">
        <v>0</v>
      </c>
      <c r="E43" s="133">
        <v>30700</v>
      </c>
      <c r="F43" s="133">
        <v>10700</v>
      </c>
      <c r="G43" s="134">
        <v>98100</v>
      </c>
      <c r="H43" s="117" t="s">
        <v>108</v>
      </c>
      <c r="I43" s="122">
        <f>C42+C43</f>
        <v>3309000</v>
      </c>
      <c r="J43" s="133">
        <v>71000</v>
      </c>
      <c r="K43" s="133">
        <v>71000</v>
      </c>
      <c r="L43" s="133">
        <v>0</v>
      </c>
      <c r="M43" s="133">
        <f>J43-L43</f>
        <v>71000</v>
      </c>
      <c r="N43" s="351"/>
    </row>
    <row r="44" spans="1:14" ht="15.75" thickBot="1">
      <c r="A44" s="119" t="s">
        <v>7</v>
      </c>
      <c r="B44" s="124"/>
      <c r="C44" s="125"/>
      <c r="D44" s="125"/>
      <c r="E44" s="125"/>
      <c r="F44" s="125"/>
      <c r="G44" s="125"/>
      <c r="H44" s="118"/>
      <c r="I44" s="122"/>
      <c r="J44" s="126"/>
      <c r="K44" s="126"/>
      <c r="L44" s="126"/>
      <c r="M44" s="125"/>
      <c r="N44" s="348"/>
    </row>
    <row r="45" spans="1:14" ht="24.75" customHeight="1" thickBot="1">
      <c r="A45" s="300" t="s">
        <v>16</v>
      </c>
      <c r="B45" s="301" t="s">
        <v>168</v>
      </c>
      <c r="C45" s="302">
        <f>C46+C47+C58</f>
        <v>9523000</v>
      </c>
      <c r="D45" s="302">
        <f aca="true" t="shared" si="13" ref="D45:M45">D46+D47+D58</f>
        <v>6421000</v>
      </c>
      <c r="E45" s="302">
        <f t="shared" si="13"/>
        <v>1510000</v>
      </c>
      <c r="F45" s="302">
        <f t="shared" si="13"/>
        <v>1510000</v>
      </c>
      <c r="G45" s="302">
        <f t="shared" si="13"/>
        <v>1227700</v>
      </c>
      <c r="H45" s="302">
        <f t="shared" si="13"/>
        <v>800000</v>
      </c>
      <c r="I45" s="302">
        <f t="shared" si="13"/>
        <v>800000</v>
      </c>
      <c r="J45" s="302">
        <f t="shared" si="13"/>
        <v>6133541</v>
      </c>
      <c r="K45" s="302">
        <f t="shared" si="13"/>
        <v>6133541</v>
      </c>
      <c r="L45" s="302">
        <f t="shared" si="13"/>
        <v>4515131</v>
      </c>
      <c r="M45" s="302">
        <f t="shared" si="13"/>
        <v>1618410</v>
      </c>
      <c r="N45" s="303">
        <f>L45/C45</f>
        <v>0.4741290559697574</v>
      </c>
    </row>
    <row r="46" spans="1:14" ht="15">
      <c r="A46" s="297" t="s">
        <v>156</v>
      </c>
      <c r="B46" s="307" t="s">
        <v>21</v>
      </c>
      <c r="C46" s="298">
        <v>8700000</v>
      </c>
      <c r="D46" s="298">
        <f>2835000+2900000</f>
        <v>5735000</v>
      </c>
      <c r="E46" s="298">
        <v>800000</v>
      </c>
      <c r="F46" s="298">
        <v>800000</v>
      </c>
      <c r="G46" s="298">
        <v>800000</v>
      </c>
      <c r="H46" s="298">
        <v>800000</v>
      </c>
      <c r="I46" s="298">
        <v>800000</v>
      </c>
      <c r="J46" s="308">
        <v>5735000</v>
      </c>
      <c r="K46" s="309">
        <v>5735000</v>
      </c>
      <c r="L46" s="298">
        <v>4132984</v>
      </c>
      <c r="M46" s="298">
        <f>J46-L46</f>
        <v>1602016</v>
      </c>
      <c r="N46" s="346">
        <f>L46/C46</f>
        <v>0.47505563218390806</v>
      </c>
    </row>
    <row r="47" spans="1:14" ht="14.25">
      <c r="A47" s="112" t="s">
        <v>171</v>
      </c>
      <c r="B47" s="135"/>
      <c r="C47" s="136">
        <f>C48+C49</f>
        <v>823000</v>
      </c>
      <c r="D47" s="136">
        <f aca="true" t="shared" si="14" ref="D47:M47">D48+D49</f>
        <v>686000</v>
      </c>
      <c r="E47" s="136">
        <f t="shared" si="14"/>
        <v>710000</v>
      </c>
      <c r="F47" s="136">
        <f t="shared" si="14"/>
        <v>710000</v>
      </c>
      <c r="G47" s="136">
        <f t="shared" si="14"/>
        <v>427700</v>
      </c>
      <c r="H47" s="136">
        <f t="shared" si="14"/>
        <v>0</v>
      </c>
      <c r="I47" s="136">
        <f t="shared" si="14"/>
        <v>0</v>
      </c>
      <c r="J47" s="136">
        <f t="shared" si="14"/>
        <v>431768</v>
      </c>
      <c r="K47" s="136">
        <f t="shared" si="14"/>
        <v>431768</v>
      </c>
      <c r="L47" s="136">
        <f t="shared" si="14"/>
        <v>415374</v>
      </c>
      <c r="M47" s="136">
        <f t="shared" si="14"/>
        <v>16394</v>
      </c>
      <c r="N47" s="352">
        <f>L47/C47</f>
        <v>0.5047071688942892</v>
      </c>
    </row>
    <row r="48" spans="1:14" ht="15">
      <c r="A48" s="137" t="s">
        <v>17</v>
      </c>
      <c r="B48" s="135" t="s">
        <v>21</v>
      </c>
      <c r="C48" s="113">
        <v>760000</v>
      </c>
      <c r="D48" s="113">
        <f>382000+265000</f>
        <v>647000</v>
      </c>
      <c r="E48" s="113">
        <v>700000</v>
      </c>
      <c r="F48" s="113">
        <v>700000</v>
      </c>
      <c r="G48" s="114">
        <v>427700</v>
      </c>
      <c r="H48" s="345"/>
      <c r="I48" s="345"/>
      <c r="J48" s="115">
        <v>393741</v>
      </c>
      <c r="K48" s="115">
        <v>393741</v>
      </c>
      <c r="L48" s="113">
        <v>392667</v>
      </c>
      <c r="M48" s="113">
        <f>J48-L48</f>
        <v>1074</v>
      </c>
      <c r="N48" s="347">
        <f>L48/C48</f>
        <v>0.5166671052631578</v>
      </c>
    </row>
    <row r="49" spans="1:14" ht="15">
      <c r="A49" s="137" t="s">
        <v>18</v>
      </c>
      <c r="B49" s="135" t="s">
        <v>22</v>
      </c>
      <c r="C49" s="113">
        <v>63000</v>
      </c>
      <c r="D49" s="113">
        <v>39000</v>
      </c>
      <c r="E49" s="113">
        <v>10000</v>
      </c>
      <c r="F49" s="113">
        <v>10000</v>
      </c>
      <c r="G49" s="114"/>
      <c r="H49" s="345"/>
      <c r="I49" s="345"/>
      <c r="J49" s="113">
        <v>38027</v>
      </c>
      <c r="K49" s="113">
        <v>38027</v>
      </c>
      <c r="L49" s="113">
        <v>22707</v>
      </c>
      <c r="M49" s="113">
        <f>J49-L49</f>
        <v>15320</v>
      </c>
      <c r="N49" s="347">
        <f>L49/C49</f>
        <v>0.36042857142857143</v>
      </c>
    </row>
    <row r="50" spans="1:14" ht="15" hidden="1">
      <c r="A50" s="112" t="s">
        <v>0</v>
      </c>
      <c r="B50" s="116"/>
      <c r="C50" s="113">
        <f aca="true" t="shared" si="15" ref="C50:C57">D50+E50+F50+G50</f>
        <v>0</v>
      </c>
      <c r="D50" s="113"/>
      <c r="E50" s="113"/>
      <c r="F50" s="113"/>
      <c r="G50" s="114"/>
      <c r="H50" s="345"/>
      <c r="I50" s="345"/>
      <c r="J50" s="113"/>
      <c r="K50" s="113"/>
      <c r="L50" s="113"/>
      <c r="M50" s="113"/>
      <c r="N50" s="347"/>
    </row>
    <row r="51" spans="1:14" ht="15" hidden="1">
      <c r="A51" s="112" t="s">
        <v>1</v>
      </c>
      <c r="B51" s="116"/>
      <c r="C51" s="113">
        <f t="shared" si="15"/>
        <v>0</v>
      </c>
      <c r="D51" s="113"/>
      <c r="E51" s="113"/>
      <c r="F51" s="113"/>
      <c r="G51" s="114"/>
      <c r="H51" s="345"/>
      <c r="I51" s="345"/>
      <c r="J51" s="113"/>
      <c r="K51" s="113"/>
      <c r="L51" s="113"/>
      <c r="M51" s="113"/>
      <c r="N51" s="347"/>
    </row>
    <row r="52" spans="1:14" ht="15" hidden="1">
      <c r="A52" s="112" t="s">
        <v>155</v>
      </c>
      <c r="B52" s="116"/>
      <c r="C52" s="113">
        <f t="shared" si="15"/>
        <v>0</v>
      </c>
      <c r="D52" s="113"/>
      <c r="E52" s="113"/>
      <c r="F52" s="113"/>
      <c r="G52" s="114"/>
      <c r="H52" s="345"/>
      <c r="I52" s="345"/>
      <c r="J52" s="113"/>
      <c r="K52" s="113"/>
      <c r="L52" s="113"/>
      <c r="M52" s="113"/>
      <c r="N52" s="347"/>
    </row>
    <row r="53" spans="1:14" ht="15" hidden="1">
      <c r="A53" s="112" t="s">
        <v>2</v>
      </c>
      <c r="B53" s="116"/>
      <c r="C53" s="113">
        <f t="shared" si="15"/>
        <v>0</v>
      </c>
      <c r="D53" s="113"/>
      <c r="E53" s="113"/>
      <c r="F53" s="113"/>
      <c r="G53" s="114"/>
      <c r="H53" s="345"/>
      <c r="I53" s="345"/>
      <c r="J53" s="113"/>
      <c r="K53" s="113"/>
      <c r="L53" s="113"/>
      <c r="M53" s="113"/>
      <c r="N53" s="347"/>
    </row>
    <row r="54" spans="1:14" ht="15" hidden="1">
      <c r="A54" s="112" t="s">
        <v>3</v>
      </c>
      <c r="B54" s="116"/>
      <c r="C54" s="113">
        <f t="shared" si="15"/>
        <v>0</v>
      </c>
      <c r="D54" s="113"/>
      <c r="E54" s="113"/>
      <c r="F54" s="113"/>
      <c r="G54" s="114"/>
      <c r="H54" s="345"/>
      <c r="I54" s="345"/>
      <c r="J54" s="113"/>
      <c r="K54" s="113"/>
      <c r="L54" s="113"/>
      <c r="M54" s="113"/>
      <c r="N54" s="347"/>
    </row>
    <row r="55" spans="1:14" ht="15" hidden="1">
      <c r="A55" s="112" t="s">
        <v>4</v>
      </c>
      <c r="B55" s="116"/>
      <c r="C55" s="113">
        <f t="shared" si="15"/>
        <v>0</v>
      </c>
      <c r="D55" s="113"/>
      <c r="E55" s="113"/>
      <c r="F55" s="113"/>
      <c r="G55" s="114"/>
      <c r="H55" s="345"/>
      <c r="I55" s="345"/>
      <c r="J55" s="113"/>
      <c r="K55" s="113"/>
      <c r="L55" s="113"/>
      <c r="M55" s="113"/>
      <c r="N55" s="347"/>
    </row>
    <row r="56" spans="1:14" ht="15" hidden="1">
      <c r="A56" s="112" t="s">
        <v>5</v>
      </c>
      <c r="B56" s="116"/>
      <c r="C56" s="113">
        <f t="shared" si="15"/>
        <v>0</v>
      </c>
      <c r="D56" s="113"/>
      <c r="E56" s="113"/>
      <c r="F56" s="113"/>
      <c r="G56" s="114"/>
      <c r="H56" s="345"/>
      <c r="I56" s="345"/>
      <c r="J56" s="113"/>
      <c r="K56" s="113"/>
      <c r="L56" s="113"/>
      <c r="M56" s="113"/>
      <c r="N56" s="347"/>
    </row>
    <row r="57" spans="1:14" ht="15" hidden="1">
      <c r="A57" s="112" t="s">
        <v>6</v>
      </c>
      <c r="B57" s="116"/>
      <c r="C57" s="113">
        <f t="shared" si="15"/>
        <v>0</v>
      </c>
      <c r="D57" s="113"/>
      <c r="E57" s="113"/>
      <c r="F57" s="113"/>
      <c r="G57" s="114"/>
      <c r="H57" s="345"/>
      <c r="I57" s="345"/>
      <c r="J57" s="113"/>
      <c r="K57" s="113"/>
      <c r="L57" s="113"/>
      <c r="M57" s="113"/>
      <c r="N57" s="347"/>
    </row>
    <row r="58" spans="1:14" ht="15">
      <c r="A58" s="119" t="s">
        <v>7</v>
      </c>
      <c r="B58" s="116"/>
      <c r="C58" s="113"/>
      <c r="D58" s="113"/>
      <c r="E58" s="113"/>
      <c r="F58" s="113"/>
      <c r="G58" s="114"/>
      <c r="H58" s="345"/>
      <c r="I58" s="345"/>
      <c r="J58" s="120">
        <f>K58</f>
        <v>-33227</v>
      </c>
      <c r="K58" s="120">
        <f>L58</f>
        <v>-33227</v>
      </c>
      <c r="L58" s="120">
        <v>-33227</v>
      </c>
      <c r="M58" s="113"/>
      <c r="N58" s="347"/>
    </row>
    <row r="59" spans="1:14" ht="15">
      <c r="A59" s="121" t="s">
        <v>8</v>
      </c>
      <c r="B59" s="116"/>
      <c r="C59" s="113"/>
      <c r="D59" s="113"/>
      <c r="E59" s="113"/>
      <c r="F59" s="113"/>
      <c r="G59" s="114"/>
      <c r="H59" s="345"/>
      <c r="I59" s="345"/>
      <c r="J59" s="113"/>
      <c r="K59" s="113"/>
      <c r="L59" s="113"/>
      <c r="M59" s="113"/>
      <c r="N59" s="347"/>
    </row>
    <row r="60" spans="1:14" ht="15">
      <c r="A60" s="128" t="s">
        <v>17</v>
      </c>
      <c r="B60" s="124" t="s">
        <v>21</v>
      </c>
      <c r="C60" s="125">
        <f>C48+C46</f>
        <v>9460000</v>
      </c>
      <c r="D60" s="125">
        <f>D48+D46</f>
        <v>6382000</v>
      </c>
      <c r="E60" s="125">
        <f>E46+E48</f>
        <v>1500000</v>
      </c>
      <c r="F60" s="125">
        <f>F46+F48</f>
        <v>1500000</v>
      </c>
      <c r="G60" s="138">
        <f>G46+G48</f>
        <v>1227700</v>
      </c>
      <c r="H60" s="421" t="s">
        <v>118</v>
      </c>
      <c r="I60" s="422"/>
      <c r="J60" s="125">
        <f>J48+J46</f>
        <v>6128741</v>
      </c>
      <c r="K60" s="125">
        <f>K48+K46</f>
        <v>6128741</v>
      </c>
      <c r="L60" s="125">
        <f>L48+L46</f>
        <v>4525651</v>
      </c>
      <c r="M60" s="125">
        <f>J60-L60</f>
        <v>1603090</v>
      </c>
      <c r="N60" s="348">
        <f>L60/C60</f>
        <v>0.47839862579281184</v>
      </c>
    </row>
    <row r="61" spans="1:14" ht="14.25">
      <c r="A61" s="128" t="s">
        <v>19</v>
      </c>
      <c r="B61" s="124" t="s">
        <v>22</v>
      </c>
      <c r="C61" s="125">
        <f>C49</f>
        <v>63000</v>
      </c>
      <c r="D61" s="125">
        <f aca="true" t="shared" si="16" ref="D61:M61">D49</f>
        <v>39000</v>
      </c>
      <c r="E61" s="125">
        <f t="shared" si="16"/>
        <v>10000</v>
      </c>
      <c r="F61" s="125">
        <f t="shared" si="16"/>
        <v>10000</v>
      </c>
      <c r="G61" s="125">
        <f t="shared" si="16"/>
        <v>0</v>
      </c>
      <c r="H61" s="125">
        <f t="shared" si="16"/>
        <v>0</v>
      </c>
      <c r="I61" s="125">
        <f t="shared" si="16"/>
        <v>0</v>
      </c>
      <c r="J61" s="125">
        <f t="shared" si="16"/>
        <v>38027</v>
      </c>
      <c r="K61" s="125">
        <f t="shared" si="16"/>
        <v>38027</v>
      </c>
      <c r="L61" s="125">
        <f t="shared" si="16"/>
        <v>22707</v>
      </c>
      <c r="M61" s="125">
        <f t="shared" si="16"/>
        <v>15320</v>
      </c>
      <c r="N61" s="348">
        <f>L61/C61</f>
        <v>0.36042857142857143</v>
      </c>
    </row>
    <row r="62" spans="1:14" ht="15">
      <c r="A62" s="123" t="s">
        <v>20</v>
      </c>
      <c r="B62" s="124" t="s">
        <v>23</v>
      </c>
      <c r="C62" s="125">
        <f>D62+E62+F62+G62</f>
        <v>0</v>
      </c>
      <c r="D62" s="125"/>
      <c r="E62" s="125"/>
      <c r="F62" s="125"/>
      <c r="G62" s="125"/>
      <c r="H62" s="118" t="s">
        <v>109</v>
      </c>
      <c r="I62" s="122">
        <f>C60+C61+C62</f>
        <v>9523000</v>
      </c>
      <c r="J62" s="125"/>
      <c r="K62" s="125"/>
      <c r="L62" s="125"/>
      <c r="M62" s="125">
        <f>J62-L62</f>
        <v>0</v>
      </c>
      <c r="N62" s="348"/>
    </row>
    <row r="63" spans="1:14" ht="15.75" thickBot="1">
      <c r="A63" s="304" t="s">
        <v>7</v>
      </c>
      <c r="B63" s="174"/>
      <c r="C63" s="162"/>
      <c r="D63" s="162"/>
      <c r="E63" s="162"/>
      <c r="F63" s="162"/>
      <c r="G63" s="162"/>
      <c r="H63" s="305"/>
      <c r="I63" s="177"/>
      <c r="J63" s="164">
        <f>J58</f>
        <v>-33227</v>
      </c>
      <c r="K63" s="164">
        <f>K58</f>
        <v>-33227</v>
      </c>
      <c r="L63" s="164">
        <f>L58</f>
        <v>-33227</v>
      </c>
      <c r="M63" s="162"/>
      <c r="N63" s="349"/>
    </row>
    <row r="64" spans="1:14" ht="24.75" customHeight="1" thickBot="1">
      <c r="A64" s="300" t="s">
        <v>25</v>
      </c>
      <c r="B64" s="301" t="s">
        <v>168</v>
      </c>
      <c r="C64" s="302">
        <f>C65+C66+C71+C72+C75+C70</f>
        <v>19557900</v>
      </c>
      <c r="D64" s="302">
        <f aca="true" t="shared" si="17" ref="D64:M64">D65+D66+D71+D72+D75+D70</f>
        <v>13362864</v>
      </c>
      <c r="E64" s="302">
        <f t="shared" si="17"/>
        <v>0</v>
      </c>
      <c r="F64" s="302">
        <f t="shared" si="17"/>
        <v>0</v>
      </c>
      <c r="G64" s="302">
        <f t="shared" si="17"/>
        <v>0</v>
      </c>
      <c r="H64" s="302">
        <f t="shared" si="17"/>
        <v>0</v>
      </c>
      <c r="I64" s="302">
        <f t="shared" si="17"/>
        <v>0</v>
      </c>
      <c r="J64" s="302">
        <f t="shared" si="17"/>
        <v>8997191</v>
      </c>
      <c r="K64" s="302">
        <f t="shared" si="17"/>
        <v>8997191</v>
      </c>
      <c r="L64" s="302">
        <f t="shared" si="17"/>
        <v>8272363</v>
      </c>
      <c r="M64" s="302">
        <f t="shared" si="17"/>
        <v>724828</v>
      </c>
      <c r="N64" s="303">
        <f>L64/C64</f>
        <v>0.42296785442199825</v>
      </c>
    </row>
    <row r="65" spans="1:14" ht="15" hidden="1">
      <c r="A65" s="297" t="s">
        <v>156</v>
      </c>
      <c r="B65" s="306"/>
      <c r="C65" s="298"/>
      <c r="D65" s="298"/>
      <c r="E65" s="298"/>
      <c r="F65" s="298"/>
      <c r="G65" s="299"/>
      <c r="H65" s="345"/>
      <c r="I65" s="345"/>
      <c r="J65" s="298"/>
      <c r="K65" s="298"/>
      <c r="L65" s="298"/>
      <c r="M65" s="298">
        <f aca="true" t="shared" si="18" ref="M65:M72">J65-L65</f>
        <v>0</v>
      </c>
      <c r="N65" s="346"/>
    </row>
    <row r="66" spans="1:14" ht="15">
      <c r="A66" s="112" t="s">
        <v>157</v>
      </c>
      <c r="B66" s="130"/>
      <c r="C66" s="113">
        <v>17466400</v>
      </c>
      <c r="D66" s="113">
        <f>5756648+5977184</f>
        <v>11733832</v>
      </c>
      <c r="E66" s="113"/>
      <c r="F66" s="113"/>
      <c r="G66" s="114"/>
      <c r="H66" s="345"/>
      <c r="I66" s="345"/>
      <c r="J66" s="113">
        <v>7818113</v>
      </c>
      <c r="K66" s="113">
        <v>7818113</v>
      </c>
      <c r="L66" s="113">
        <v>7093285</v>
      </c>
      <c r="M66" s="113">
        <f t="shared" si="18"/>
        <v>724828</v>
      </c>
      <c r="N66" s="347">
        <f aca="true" t="shared" si="19" ref="N66:N72">L66/C66</f>
        <v>0.40611030321073605</v>
      </c>
    </row>
    <row r="67" spans="1:14" ht="15" hidden="1">
      <c r="A67" s="112" t="s">
        <v>0</v>
      </c>
      <c r="B67" s="130"/>
      <c r="C67" s="113"/>
      <c r="D67" s="113"/>
      <c r="E67" s="113"/>
      <c r="F67" s="113"/>
      <c r="G67" s="114"/>
      <c r="H67" s="345"/>
      <c r="I67" s="345"/>
      <c r="J67" s="113"/>
      <c r="K67" s="113"/>
      <c r="L67" s="113"/>
      <c r="M67" s="113">
        <f t="shared" si="18"/>
        <v>0</v>
      </c>
      <c r="N67" s="347" t="e">
        <f t="shared" si="19"/>
        <v>#DIV/0!</v>
      </c>
    </row>
    <row r="68" spans="1:14" ht="15" hidden="1">
      <c r="A68" s="112" t="s">
        <v>1</v>
      </c>
      <c r="B68" s="130"/>
      <c r="C68" s="113"/>
      <c r="D68" s="113"/>
      <c r="E68" s="113"/>
      <c r="F68" s="113"/>
      <c r="G68" s="114"/>
      <c r="H68" s="345"/>
      <c r="I68" s="345"/>
      <c r="J68" s="113"/>
      <c r="K68" s="113"/>
      <c r="L68" s="113"/>
      <c r="M68" s="113">
        <f t="shared" si="18"/>
        <v>0</v>
      </c>
      <c r="N68" s="347" t="e">
        <f t="shared" si="19"/>
        <v>#DIV/0!</v>
      </c>
    </row>
    <row r="69" spans="1:14" ht="15" hidden="1">
      <c r="A69" s="112" t="s">
        <v>155</v>
      </c>
      <c r="B69" s="130"/>
      <c r="C69" s="113"/>
      <c r="D69" s="113"/>
      <c r="E69" s="113"/>
      <c r="F69" s="113"/>
      <c r="G69" s="114"/>
      <c r="H69" s="345"/>
      <c r="I69" s="345"/>
      <c r="J69" s="113"/>
      <c r="K69" s="113"/>
      <c r="L69" s="113"/>
      <c r="M69" s="113">
        <f t="shared" si="18"/>
        <v>0</v>
      </c>
      <c r="N69" s="347" t="e">
        <f t="shared" si="19"/>
        <v>#DIV/0!</v>
      </c>
    </row>
    <row r="70" spans="1:14" ht="15">
      <c r="A70" s="112" t="s">
        <v>2</v>
      </c>
      <c r="B70" s="130"/>
      <c r="C70" s="113">
        <v>189000</v>
      </c>
      <c r="D70" s="113">
        <f>56000+51000</f>
        <v>107000</v>
      </c>
      <c r="E70" s="113"/>
      <c r="F70" s="113"/>
      <c r="G70" s="114"/>
      <c r="H70" s="345"/>
      <c r="I70" s="345"/>
      <c r="J70" s="113">
        <v>107000</v>
      </c>
      <c r="K70" s="113">
        <v>107000</v>
      </c>
      <c r="L70" s="113">
        <v>107000</v>
      </c>
      <c r="M70" s="113">
        <f t="shared" si="18"/>
        <v>0</v>
      </c>
      <c r="N70" s="347">
        <f t="shared" si="19"/>
        <v>0.5661375661375662</v>
      </c>
    </row>
    <row r="71" spans="1:14" ht="15">
      <c r="A71" s="112" t="s">
        <v>3</v>
      </c>
      <c r="B71" s="130"/>
      <c r="C71" s="113">
        <v>402500</v>
      </c>
      <c r="D71" s="113">
        <f>132866+227038</f>
        <v>359904</v>
      </c>
      <c r="E71" s="113"/>
      <c r="F71" s="113"/>
      <c r="G71" s="114"/>
      <c r="H71" s="345"/>
      <c r="I71" s="345"/>
      <c r="J71" s="113">
        <v>307392</v>
      </c>
      <c r="K71" s="113">
        <v>307392</v>
      </c>
      <c r="L71" s="113">
        <v>307392</v>
      </c>
      <c r="M71" s="113">
        <f t="shared" si="18"/>
        <v>0</v>
      </c>
      <c r="N71" s="347">
        <f t="shared" si="19"/>
        <v>0.7637068322981366</v>
      </c>
    </row>
    <row r="72" spans="1:14" ht="15">
      <c r="A72" s="112" t="s">
        <v>218</v>
      </c>
      <c r="B72" s="130"/>
      <c r="C72" s="113">
        <v>1500000</v>
      </c>
      <c r="D72" s="113">
        <f>659307+502821</f>
        <v>1162128</v>
      </c>
      <c r="E72" s="113"/>
      <c r="F72" s="113"/>
      <c r="G72" s="114"/>
      <c r="H72" s="345"/>
      <c r="I72" s="345"/>
      <c r="J72" s="113">
        <v>764686</v>
      </c>
      <c r="K72" s="113">
        <v>764686</v>
      </c>
      <c r="L72" s="113">
        <v>764686</v>
      </c>
      <c r="M72" s="113">
        <f t="shared" si="18"/>
        <v>0</v>
      </c>
      <c r="N72" s="347">
        <f t="shared" si="19"/>
        <v>0.5097906666666666</v>
      </c>
    </row>
    <row r="73" spans="1:14" ht="15" hidden="1">
      <c r="A73" s="112" t="s">
        <v>5</v>
      </c>
      <c r="B73" s="130"/>
      <c r="C73" s="113">
        <f>D73+E73+F73+G73</f>
        <v>0</v>
      </c>
      <c r="D73" s="113"/>
      <c r="E73" s="113"/>
      <c r="F73" s="113"/>
      <c r="G73" s="114"/>
      <c r="H73" s="345"/>
      <c r="I73" s="345"/>
      <c r="J73" s="113"/>
      <c r="K73" s="113"/>
      <c r="L73" s="113"/>
      <c r="M73" s="113"/>
      <c r="N73" s="347"/>
    </row>
    <row r="74" spans="1:14" ht="15" hidden="1">
      <c r="A74" s="112" t="s">
        <v>6</v>
      </c>
      <c r="B74" s="130"/>
      <c r="C74" s="113">
        <f>D74+E74+F74+G74</f>
        <v>0</v>
      </c>
      <c r="D74" s="113"/>
      <c r="E74" s="113"/>
      <c r="F74" s="113"/>
      <c r="G74" s="114"/>
      <c r="H74" s="345"/>
      <c r="I74" s="345"/>
      <c r="J74" s="113"/>
      <c r="K74" s="113"/>
      <c r="L74" s="113"/>
      <c r="M74" s="113"/>
      <c r="N74" s="347"/>
    </row>
    <row r="75" spans="1:14" ht="15">
      <c r="A75" s="119" t="s">
        <v>7</v>
      </c>
      <c r="B75" s="130"/>
      <c r="C75" s="113"/>
      <c r="D75" s="113"/>
      <c r="E75" s="113"/>
      <c r="F75" s="113"/>
      <c r="G75" s="114"/>
      <c r="H75" s="345"/>
      <c r="I75" s="345"/>
      <c r="J75" s="139">
        <f>K75</f>
        <v>0</v>
      </c>
      <c r="K75" s="139">
        <f>L75</f>
        <v>0</v>
      </c>
      <c r="L75" s="139">
        <v>0</v>
      </c>
      <c r="M75" s="113"/>
      <c r="N75" s="347"/>
    </row>
    <row r="76" spans="1:14" ht="15">
      <c r="A76" s="121" t="s">
        <v>8</v>
      </c>
      <c r="B76" s="130"/>
      <c r="C76" s="113"/>
      <c r="D76" s="113"/>
      <c r="E76" s="113"/>
      <c r="F76" s="113"/>
      <c r="G76" s="114"/>
      <c r="H76" s="345"/>
      <c r="I76" s="345"/>
      <c r="J76" s="113"/>
      <c r="K76" s="113"/>
      <c r="L76" s="113"/>
      <c r="M76" s="113"/>
      <c r="N76" s="347"/>
    </row>
    <row r="77" spans="1:14" ht="15">
      <c r="A77" s="128" t="s">
        <v>26</v>
      </c>
      <c r="B77" s="140" t="s">
        <v>31</v>
      </c>
      <c r="C77" s="125">
        <v>2931735</v>
      </c>
      <c r="D77" s="125">
        <v>2130936</v>
      </c>
      <c r="E77" s="125"/>
      <c r="F77" s="125"/>
      <c r="G77" s="138"/>
      <c r="H77" s="345"/>
      <c r="I77" s="345"/>
      <c r="J77" s="125">
        <v>1425450</v>
      </c>
      <c r="K77" s="125">
        <v>1425450</v>
      </c>
      <c r="L77" s="125">
        <v>1284450</v>
      </c>
      <c r="M77" s="125">
        <f>J77-L77</f>
        <v>141000</v>
      </c>
      <c r="N77" s="348">
        <f>L77/C77</f>
        <v>0.43811940710875985</v>
      </c>
    </row>
    <row r="78" spans="1:14" ht="15">
      <c r="A78" s="128" t="s">
        <v>210</v>
      </c>
      <c r="B78" s="124" t="s">
        <v>214</v>
      </c>
      <c r="C78" s="125">
        <v>511271</v>
      </c>
      <c r="D78" s="125">
        <v>344533</v>
      </c>
      <c r="E78" s="125"/>
      <c r="F78" s="125"/>
      <c r="G78" s="138"/>
      <c r="H78" s="421"/>
      <c r="I78" s="422"/>
      <c r="J78" s="125">
        <v>169618</v>
      </c>
      <c r="K78" s="125">
        <v>169618</v>
      </c>
      <c r="L78" s="125">
        <v>165106</v>
      </c>
      <c r="M78" s="125">
        <f aca="true" t="shared" si="20" ref="M78:M85">J78-L78</f>
        <v>4512</v>
      </c>
      <c r="N78" s="348">
        <f aca="true" t="shared" si="21" ref="N78:N84">L78/C78</f>
        <v>0.32293245656413133</v>
      </c>
    </row>
    <row r="79" spans="1:14" ht="15">
      <c r="A79" s="5" t="s">
        <v>251</v>
      </c>
      <c r="B79" s="124" t="s">
        <v>194</v>
      </c>
      <c r="C79" s="125">
        <v>5018884</v>
      </c>
      <c r="D79" s="125">
        <v>3363531</v>
      </c>
      <c r="E79" s="125"/>
      <c r="F79" s="125"/>
      <c r="G79" s="138"/>
      <c r="H79" s="117"/>
      <c r="I79" s="122"/>
      <c r="J79" s="125">
        <v>1977766</v>
      </c>
      <c r="K79" s="125">
        <v>1977766</v>
      </c>
      <c r="L79" s="125">
        <v>1955274</v>
      </c>
      <c r="M79" s="125">
        <f t="shared" si="20"/>
        <v>22492</v>
      </c>
      <c r="N79" s="348">
        <f t="shared" si="21"/>
        <v>0.3895834213343046</v>
      </c>
    </row>
    <row r="80" spans="1:14" ht="15">
      <c r="A80" s="4" t="s">
        <v>252</v>
      </c>
      <c r="B80" s="124" t="s">
        <v>32</v>
      </c>
      <c r="C80" s="125">
        <v>11078510</v>
      </c>
      <c r="D80" s="125">
        <v>7515864</v>
      </c>
      <c r="E80" s="125"/>
      <c r="F80" s="125"/>
      <c r="G80" s="125"/>
      <c r="H80" s="118"/>
      <c r="I80" s="122"/>
      <c r="J80" s="125">
        <v>5419557</v>
      </c>
      <c r="K80" s="125">
        <v>5419557</v>
      </c>
      <c r="L80" s="125">
        <v>4862733</v>
      </c>
      <c r="M80" s="125">
        <f t="shared" si="20"/>
        <v>556824</v>
      </c>
      <c r="N80" s="348">
        <f t="shared" si="21"/>
        <v>0.4389338457969528</v>
      </c>
    </row>
    <row r="81" spans="1:14" ht="15">
      <c r="A81" s="123" t="s">
        <v>211</v>
      </c>
      <c r="B81" s="124" t="s">
        <v>215</v>
      </c>
      <c r="C81" s="125"/>
      <c r="D81" s="125"/>
      <c r="E81" s="125"/>
      <c r="F81" s="125"/>
      <c r="G81" s="125"/>
      <c r="H81" s="118"/>
      <c r="I81" s="122"/>
      <c r="J81" s="125"/>
      <c r="K81" s="125"/>
      <c r="L81" s="125"/>
      <c r="M81" s="125">
        <f t="shared" si="20"/>
        <v>0</v>
      </c>
      <c r="N81" s="348"/>
    </row>
    <row r="82" spans="1:14" ht="15" hidden="1">
      <c r="A82" s="123" t="s">
        <v>212</v>
      </c>
      <c r="B82" s="124" t="s">
        <v>216</v>
      </c>
      <c r="C82" s="125"/>
      <c r="D82" s="125"/>
      <c r="E82" s="125"/>
      <c r="F82" s="125"/>
      <c r="G82" s="125"/>
      <c r="H82" s="118"/>
      <c r="I82" s="122"/>
      <c r="J82" s="125"/>
      <c r="K82" s="125"/>
      <c r="L82" s="125"/>
      <c r="M82" s="125">
        <f t="shared" si="20"/>
        <v>0</v>
      </c>
      <c r="N82" s="348" t="e">
        <f t="shared" si="21"/>
        <v>#DIV/0!</v>
      </c>
    </row>
    <row r="83" spans="1:14" ht="15" hidden="1">
      <c r="A83" s="123" t="s">
        <v>213</v>
      </c>
      <c r="B83" s="124" t="s">
        <v>217</v>
      </c>
      <c r="C83" s="125"/>
      <c r="D83" s="125"/>
      <c r="E83" s="125"/>
      <c r="F83" s="125"/>
      <c r="G83" s="125"/>
      <c r="H83" s="118"/>
      <c r="I83" s="122"/>
      <c r="J83" s="125"/>
      <c r="K83" s="125"/>
      <c r="L83" s="125"/>
      <c r="M83" s="125">
        <f t="shared" si="20"/>
        <v>0</v>
      </c>
      <c r="N83" s="348" t="e">
        <f t="shared" si="21"/>
        <v>#DIV/0!</v>
      </c>
    </row>
    <row r="84" spans="1:14" ht="15">
      <c r="A84" s="123" t="s">
        <v>134</v>
      </c>
      <c r="B84" s="124" t="s">
        <v>33</v>
      </c>
      <c r="C84" s="125">
        <v>17500</v>
      </c>
      <c r="D84" s="125">
        <v>8000</v>
      </c>
      <c r="E84" s="125"/>
      <c r="F84" s="125"/>
      <c r="G84" s="125"/>
      <c r="H84" s="118"/>
      <c r="I84" s="122"/>
      <c r="J84" s="125">
        <v>4800</v>
      </c>
      <c r="K84" s="125">
        <v>4800</v>
      </c>
      <c r="L84" s="125">
        <v>4800</v>
      </c>
      <c r="M84" s="125">
        <f t="shared" si="20"/>
        <v>0</v>
      </c>
      <c r="N84" s="348">
        <f t="shared" si="21"/>
        <v>0.2742857142857143</v>
      </c>
    </row>
    <row r="85" spans="1:14" ht="15.75" thickBot="1">
      <c r="A85" s="304" t="s">
        <v>7</v>
      </c>
      <c r="B85" s="174"/>
      <c r="C85" s="164"/>
      <c r="D85" s="164"/>
      <c r="E85" s="164"/>
      <c r="F85" s="164"/>
      <c r="G85" s="164"/>
      <c r="H85" s="310"/>
      <c r="I85" s="311"/>
      <c r="J85" s="164"/>
      <c r="K85" s="164"/>
      <c r="L85" s="164"/>
      <c r="M85" s="164">
        <f t="shared" si="20"/>
        <v>0</v>
      </c>
      <c r="N85" s="353"/>
    </row>
    <row r="86" spans="1:14" ht="24.75" customHeight="1" thickBot="1">
      <c r="A86" s="300" t="s">
        <v>27</v>
      </c>
      <c r="B86" s="301" t="s">
        <v>168</v>
      </c>
      <c r="C86" s="302">
        <f>C87+C88+C99+C96</f>
        <v>5099875</v>
      </c>
      <c r="D86" s="302">
        <f aca="true" t="shared" si="22" ref="D86:M86">D87+D88+D99+D96</f>
        <v>2880875</v>
      </c>
      <c r="E86" s="302">
        <f t="shared" si="22"/>
        <v>2000</v>
      </c>
      <c r="F86" s="302">
        <f t="shared" si="22"/>
        <v>2000</v>
      </c>
      <c r="G86" s="302">
        <f t="shared" si="22"/>
        <v>0</v>
      </c>
      <c r="H86" s="302" t="e">
        <f t="shared" si="22"/>
        <v>#VALUE!</v>
      </c>
      <c r="I86" s="302">
        <f t="shared" si="22"/>
        <v>0</v>
      </c>
      <c r="J86" s="302">
        <f t="shared" si="22"/>
        <v>2872439</v>
      </c>
      <c r="K86" s="302">
        <f t="shared" si="22"/>
        <v>2872439</v>
      </c>
      <c r="L86" s="302">
        <f t="shared" si="22"/>
        <v>2798496</v>
      </c>
      <c r="M86" s="302">
        <f t="shared" si="22"/>
        <v>73943</v>
      </c>
      <c r="N86" s="303">
        <f>L86/C86</f>
        <v>0.5487381553469448</v>
      </c>
    </row>
    <row r="87" spans="1:14" ht="15">
      <c r="A87" s="312" t="s">
        <v>156</v>
      </c>
      <c r="B87" s="313"/>
      <c r="C87" s="314">
        <v>4416000</v>
      </c>
      <c r="D87" s="314">
        <f>1101000+1123000</f>
        <v>2224000</v>
      </c>
      <c r="E87" s="314"/>
      <c r="F87" s="314"/>
      <c r="G87" s="314"/>
      <c r="H87" s="314"/>
      <c r="I87" s="314"/>
      <c r="J87" s="314">
        <v>2224000</v>
      </c>
      <c r="K87" s="314">
        <v>2224000</v>
      </c>
      <c r="L87" s="314">
        <v>2150057</v>
      </c>
      <c r="M87" s="314">
        <f>J87-L87</f>
        <v>73943</v>
      </c>
      <c r="N87" s="354">
        <f>L87/C87</f>
        <v>0.48687884963768113</v>
      </c>
    </row>
    <row r="88" spans="1:14" ht="15">
      <c r="A88" s="141" t="s">
        <v>171</v>
      </c>
      <c r="B88" s="142"/>
      <c r="C88" s="144">
        <f>C89+C90</f>
        <v>658875</v>
      </c>
      <c r="D88" s="144">
        <f aca="true" t="shared" si="23" ref="D88:L88">D89+D90</f>
        <v>643875</v>
      </c>
      <c r="E88" s="144">
        <f t="shared" si="23"/>
        <v>2000</v>
      </c>
      <c r="F88" s="144">
        <f t="shared" si="23"/>
        <v>2000</v>
      </c>
      <c r="G88" s="144">
        <f t="shared" si="23"/>
        <v>0</v>
      </c>
      <c r="H88" s="144" t="e">
        <f t="shared" si="23"/>
        <v>#VALUE!</v>
      </c>
      <c r="I88" s="144">
        <f t="shared" si="23"/>
        <v>0</v>
      </c>
      <c r="J88" s="144">
        <f t="shared" si="23"/>
        <v>637593</v>
      </c>
      <c r="K88" s="144">
        <f t="shared" si="23"/>
        <v>637593</v>
      </c>
      <c r="L88" s="144">
        <f t="shared" si="23"/>
        <v>637593</v>
      </c>
      <c r="M88" s="144">
        <f>M89+M90</f>
        <v>0</v>
      </c>
      <c r="N88" s="355">
        <f aca="true" t="shared" si="24" ref="N88:N95">L88/C88</f>
        <v>0.9676994877632328</v>
      </c>
    </row>
    <row r="89" spans="1:14" ht="15">
      <c r="A89" s="137" t="s">
        <v>28</v>
      </c>
      <c r="B89" s="116"/>
      <c r="C89" s="113">
        <v>65000</v>
      </c>
      <c r="D89" s="113">
        <v>50000</v>
      </c>
      <c r="E89" s="113"/>
      <c r="F89" s="113"/>
      <c r="G89" s="114"/>
      <c r="H89" s="345"/>
      <c r="I89" s="345"/>
      <c r="J89" s="113">
        <v>43718</v>
      </c>
      <c r="K89" s="113">
        <v>43718</v>
      </c>
      <c r="L89" s="113">
        <v>43718</v>
      </c>
      <c r="M89" s="113">
        <f aca="true" t="shared" si="25" ref="M89:M98">J89-L89</f>
        <v>0</v>
      </c>
      <c r="N89" s="356">
        <f t="shared" si="24"/>
        <v>0.6725846153846153</v>
      </c>
    </row>
    <row r="90" spans="1:14" ht="15">
      <c r="A90" s="240" t="s">
        <v>265</v>
      </c>
      <c r="B90" s="116"/>
      <c r="C90" s="113">
        <v>593875</v>
      </c>
      <c r="D90" s="113">
        <v>593875</v>
      </c>
      <c r="E90" s="113">
        <v>2000</v>
      </c>
      <c r="F90" s="113">
        <v>2000</v>
      </c>
      <c r="G90" s="114"/>
      <c r="H90" s="421" t="s">
        <v>117</v>
      </c>
      <c r="I90" s="422"/>
      <c r="J90" s="113">
        <v>593875</v>
      </c>
      <c r="K90" s="113">
        <v>593875</v>
      </c>
      <c r="L90" s="113">
        <v>593875</v>
      </c>
      <c r="M90" s="113">
        <f t="shared" si="25"/>
        <v>0</v>
      </c>
      <c r="N90" s="355">
        <f t="shared" si="24"/>
        <v>1</v>
      </c>
    </row>
    <row r="91" spans="1:14" ht="15" hidden="1">
      <c r="A91" s="112" t="s">
        <v>0</v>
      </c>
      <c r="B91" s="116"/>
      <c r="C91" s="113">
        <f aca="true" t="shared" si="26" ref="C91:C98">D91+E91+F91+G91</f>
        <v>0</v>
      </c>
      <c r="D91" s="113"/>
      <c r="E91" s="113"/>
      <c r="F91" s="113"/>
      <c r="G91" s="114"/>
      <c r="H91" s="117"/>
      <c r="I91" s="118"/>
      <c r="J91" s="113"/>
      <c r="K91" s="113"/>
      <c r="L91" s="113"/>
      <c r="M91" s="113">
        <f t="shared" si="25"/>
        <v>0</v>
      </c>
      <c r="N91" s="355" t="e">
        <f t="shared" si="24"/>
        <v>#DIV/0!</v>
      </c>
    </row>
    <row r="92" spans="1:14" ht="15" hidden="1">
      <c r="A92" s="112" t="s">
        <v>1</v>
      </c>
      <c r="B92" s="116"/>
      <c r="C92" s="113">
        <f t="shared" si="26"/>
        <v>0</v>
      </c>
      <c r="D92" s="113"/>
      <c r="E92" s="113"/>
      <c r="F92" s="113"/>
      <c r="G92" s="114"/>
      <c r="H92" s="117"/>
      <c r="I92" s="118"/>
      <c r="J92" s="113"/>
      <c r="K92" s="113"/>
      <c r="L92" s="113"/>
      <c r="M92" s="113">
        <f t="shared" si="25"/>
        <v>0</v>
      </c>
      <c r="N92" s="355" t="e">
        <f t="shared" si="24"/>
        <v>#DIV/0!</v>
      </c>
    </row>
    <row r="93" spans="1:14" ht="15" hidden="1">
      <c r="A93" s="112" t="s">
        <v>155</v>
      </c>
      <c r="B93" s="116"/>
      <c r="C93" s="113">
        <f t="shared" si="26"/>
        <v>0</v>
      </c>
      <c r="D93" s="113"/>
      <c r="E93" s="113"/>
      <c r="F93" s="113"/>
      <c r="G93" s="114"/>
      <c r="H93" s="117"/>
      <c r="I93" s="118"/>
      <c r="J93" s="113"/>
      <c r="K93" s="113"/>
      <c r="L93" s="113"/>
      <c r="M93" s="113">
        <f t="shared" si="25"/>
        <v>0</v>
      </c>
      <c r="N93" s="355" t="e">
        <f t="shared" si="24"/>
        <v>#DIV/0!</v>
      </c>
    </row>
    <row r="94" spans="1:14" ht="15" hidden="1">
      <c r="A94" s="112" t="s">
        <v>2</v>
      </c>
      <c r="B94" s="116"/>
      <c r="C94" s="113">
        <f t="shared" si="26"/>
        <v>0</v>
      </c>
      <c r="D94" s="113"/>
      <c r="E94" s="113"/>
      <c r="F94" s="113"/>
      <c r="G94" s="114"/>
      <c r="H94" s="117"/>
      <c r="I94" s="118"/>
      <c r="J94" s="113"/>
      <c r="K94" s="113"/>
      <c r="L94" s="113"/>
      <c r="M94" s="113">
        <f t="shared" si="25"/>
        <v>0</v>
      </c>
      <c r="N94" s="355" t="e">
        <f t="shared" si="24"/>
        <v>#DIV/0!</v>
      </c>
    </row>
    <row r="95" spans="1:14" ht="15" hidden="1">
      <c r="A95" s="112" t="s">
        <v>3</v>
      </c>
      <c r="B95" s="116"/>
      <c r="C95" s="113">
        <f t="shared" si="26"/>
        <v>0</v>
      </c>
      <c r="D95" s="113"/>
      <c r="E95" s="113"/>
      <c r="F95" s="113"/>
      <c r="G95" s="114"/>
      <c r="H95" s="117"/>
      <c r="I95" s="118"/>
      <c r="J95" s="113"/>
      <c r="K95" s="113"/>
      <c r="L95" s="113"/>
      <c r="M95" s="113">
        <f t="shared" si="25"/>
        <v>0</v>
      </c>
      <c r="N95" s="355" t="e">
        <f t="shared" si="24"/>
        <v>#DIV/0!</v>
      </c>
    </row>
    <row r="96" spans="1:14" ht="15">
      <c r="A96" s="232" t="s">
        <v>4</v>
      </c>
      <c r="B96" s="233"/>
      <c r="C96" s="234">
        <v>25000</v>
      </c>
      <c r="D96" s="234">
        <v>13000</v>
      </c>
      <c r="E96" s="234"/>
      <c r="F96" s="234"/>
      <c r="G96" s="235"/>
      <c r="H96" s="236"/>
      <c r="I96" s="237"/>
      <c r="J96" s="234">
        <v>10846</v>
      </c>
      <c r="K96" s="234">
        <v>10846</v>
      </c>
      <c r="L96" s="234">
        <v>10846</v>
      </c>
      <c r="M96" s="234">
        <f t="shared" si="25"/>
        <v>0</v>
      </c>
      <c r="N96" s="355">
        <f>L96/C96</f>
        <v>0.43384</v>
      </c>
    </row>
    <row r="97" spans="1:14" ht="15" hidden="1">
      <c r="A97" s="112" t="s">
        <v>5</v>
      </c>
      <c r="B97" s="116"/>
      <c r="C97" s="113">
        <f t="shared" si="26"/>
        <v>0</v>
      </c>
      <c r="D97" s="113"/>
      <c r="E97" s="113"/>
      <c r="F97" s="113"/>
      <c r="G97" s="114"/>
      <c r="H97" s="117"/>
      <c r="I97" s="118"/>
      <c r="J97" s="113"/>
      <c r="K97" s="113"/>
      <c r="L97" s="113"/>
      <c r="M97" s="113">
        <f t="shared" si="25"/>
        <v>0</v>
      </c>
      <c r="N97" s="347"/>
    </row>
    <row r="98" spans="1:14" ht="15" hidden="1">
      <c r="A98" s="112" t="s">
        <v>6</v>
      </c>
      <c r="B98" s="116"/>
      <c r="C98" s="113">
        <f t="shared" si="26"/>
        <v>0</v>
      </c>
      <c r="D98" s="113"/>
      <c r="E98" s="113"/>
      <c r="F98" s="113"/>
      <c r="G98" s="114"/>
      <c r="H98" s="117"/>
      <c r="I98" s="118"/>
      <c r="J98" s="113"/>
      <c r="K98" s="113"/>
      <c r="L98" s="113"/>
      <c r="M98" s="113">
        <f t="shared" si="25"/>
        <v>0</v>
      </c>
      <c r="N98" s="347"/>
    </row>
    <row r="99" spans="1:14" ht="15">
      <c r="A99" s="119" t="s">
        <v>7</v>
      </c>
      <c r="B99" s="116"/>
      <c r="C99" s="113"/>
      <c r="D99" s="113"/>
      <c r="E99" s="113"/>
      <c r="F99" s="113"/>
      <c r="G99" s="114"/>
      <c r="H99" s="117"/>
      <c r="I99" s="118"/>
      <c r="J99" s="113"/>
      <c r="K99" s="113"/>
      <c r="L99" s="113"/>
      <c r="M99" s="113"/>
      <c r="N99" s="347"/>
    </row>
    <row r="100" spans="1:14" ht="15">
      <c r="A100" s="121" t="s">
        <v>8</v>
      </c>
      <c r="B100" s="116"/>
      <c r="C100" s="113"/>
      <c r="D100" s="113"/>
      <c r="E100" s="113"/>
      <c r="F100" s="113"/>
      <c r="G100" s="114"/>
      <c r="H100" s="117" t="s">
        <v>108</v>
      </c>
      <c r="I100" s="122">
        <f>C87+C88</f>
        <v>5074875</v>
      </c>
      <c r="J100" s="113"/>
      <c r="K100" s="113"/>
      <c r="L100" s="113"/>
      <c r="M100" s="113"/>
      <c r="N100" s="347"/>
    </row>
    <row r="101" spans="1:14" ht="14.25">
      <c r="A101" s="123" t="s">
        <v>29</v>
      </c>
      <c r="B101" s="124" t="s">
        <v>30</v>
      </c>
      <c r="C101" s="125">
        <f>C89+C87+C96</f>
        <v>4506000</v>
      </c>
      <c r="D101" s="125">
        <f aca="true" t="shared" si="27" ref="D101:M101">D89+D87+D96</f>
        <v>2287000</v>
      </c>
      <c r="E101" s="125">
        <f t="shared" si="27"/>
        <v>0</v>
      </c>
      <c r="F101" s="125">
        <f t="shared" si="27"/>
        <v>0</v>
      </c>
      <c r="G101" s="125">
        <f t="shared" si="27"/>
        <v>0</v>
      </c>
      <c r="H101" s="125">
        <f t="shared" si="27"/>
        <v>0</v>
      </c>
      <c r="I101" s="125">
        <f t="shared" si="27"/>
        <v>0</v>
      </c>
      <c r="J101" s="125">
        <f t="shared" si="27"/>
        <v>2278564</v>
      </c>
      <c r="K101" s="125">
        <f t="shared" si="27"/>
        <v>2278564</v>
      </c>
      <c r="L101" s="125">
        <f t="shared" si="27"/>
        <v>2204621</v>
      </c>
      <c r="M101" s="125">
        <f t="shared" si="27"/>
        <v>73943</v>
      </c>
      <c r="N101" s="348">
        <f>L101/C101</f>
        <v>0.4892634265423879</v>
      </c>
    </row>
    <row r="102" spans="1:14" ht="14.25">
      <c r="A102" s="4" t="s">
        <v>266</v>
      </c>
      <c r="B102" s="390" t="s">
        <v>267</v>
      </c>
      <c r="C102" s="162">
        <f>C90</f>
        <v>593875</v>
      </c>
      <c r="D102" s="162">
        <f aca="true" t="shared" si="28" ref="D102:M102">D90</f>
        <v>593875</v>
      </c>
      <c r="E102" s="162">
        <f t="shared" si="28"/>
        <v>2000</v>
      </c>
      <c r="F102" s="162">
        <f t="shared" si="28"/>
        <v>2000</v>
      </c>
      <c r="G102" s="162">
        <f t="shared" si="28"/>
        <v>0</v>
      </c>
      <c r="H102" s="162" t="str">
        <f t="shared" si="28"/>
        <v>TOTAL 66</v>
      </c>
      <c r="I102" s="162">
        <f t="shared" si="28"/>
        <v>0</v>
      </c>
      <c r="J102" s="162">
        <f t="shared" si="28"/>
        <v>593875</v>
      </c>
      <c r="K102" s="162">
        <f t="shared" si="28"/>
        <v>593875</v>
      </c>
      <c r="L102" s="162">
        <f t="shared" si="28"/>
        <v>593875</v>
      </c>
      <c r="M102" s="162">
        <f t="shared" si="28"/>
        <v>0</v>
      </c>
      <c r="N102" s="348">
        <f>L102/C102</f>
        <v>1</v>
      </c>
    </row>
    <row r="103" spans="1:14" ht="15.75" thickBot="1">
      <c r="A103" s="304" t="s">
        <v>7</v>
      </c>
      <c r="B103" s="174"/>
      <c r="C103" s="162"/>
      <c r="D103" s="162"/>
      <c r="E103" s="162"/>
      <c r="F103" s="162"/>
      <c r="G103" s="162"/>
      <c r="H103" s="305"/>
      <c r="I103" s="177"/>
      <c r="J103" s="162">
        <f>J99</f>
        <v>0</v>
      </c>
      <c r="K103" s="162">
        <f>K99</f>
        <v>0</v>
      </c>
      <c r="L103" s="162">
        <f>L99</f>
        <v>0</v>
      </c>
      <c r="M103" s="162"/>
      <c r="N103" s="349"/>
    </row>
    <row r="104" spans="1:14" ht="24.75" customHeight="1" thickBot="1">
      <c r="A104" s="300" t="s">
        <v>34</v>
      </c>
      <c r="B104" s="301" t="s">
        <v>168</v>
      </c>
      <c r="C104" s="302">
        <f>C105+C110+C121+C129</f>
        <v>28942000</v>
      </c>
      <c r="D104" s="302">
        <f aca="true" t="shared" si="29" ref="D104:M104">D105+D110+D121+D129</f>
        <v>18394981</v>
      </c>
      <c r="E104" s="302">
        <f t="shared" si="29"/>
        <v>300000</v>
      </c>
      <c r="F104" s="302">
        <f t="shared" si="29"/>
        <v>300000</v>
      </c>
      <c r="G104" s="302">
        <f t="shared" si="29"/>
        <v>300000</v>
      </c>
      <c r="H104" s="302">
        <f t="shared" si="29"/>
        <v>300000</v>
      </c>
      <c r="I104" s="302">
        <f t="shared" si="29"/>
        <v>300000</v>
      </c>
      <c r="J104" s="302">
        <f>J105+J110+J121+J129+J134</f>
        <v>26136500</v>
      </c>
      <c r="K104" s="302">
        <f>K105+K110+K121+K129+K134</f>
        <v>26136500</v>
      </c>
      <c r="L104" s="302">
        <f>L105+L110+L121+L129+L134</f>
        <v>13755171</v>
      </c>
      <c r="M104" s="302">
        <f t="shared" si="29"/>
        <v>12381329</v>
      </c>
      <c r="N104" s="303">
        <f>L104/C104</f>
        <v>0.4752667749291687</v>
      </c>
    </row>
    <row r="105" spans="1:14" ht="15">
      <c r="A105" s="312" t="s">
        <v>156</v>
      </c>
      <c r="B105" s="315"/>
      <c r="C105" s="314">
        <f>C106+C107+C108+C109</f>
        <v>555000</v>
      </c>
      <c r="D105" s="314">
        <f aca="true" t="shared" si="30" ref="D105:M105">D106+D107+D108+D109</f>
        <v>274261</v>
      </c>
      <c r="E105" s="314">
        <f t="shared" si="30"/>
        <v>0</v>
      </c>
      <c r="F105" s="314">
        <f t="shared" si="30"/>
        <v>0</v>
      </c>
      <c r="G105" s="314">
        <f t="shared" si="30"/>
        <v>0</v>
      </c>
      <c r="H105" s="314">
        <f t="shared" si="30"/>
        <v>0</v>
      </c>
      <c r="I105" s="314">
        <f t="shared" si="30"/>
        <v>0</v>
      </c>
      <c r="J105" s="314">
        <f t="shared" si="30"/>
        <v>229593</v>
      </c>
      <c r="K105" s="314">
        <f t="shared" si="30"/>
        <v>229593</v>
      </c>
      <c r="L105" s="314">
        <f t="shared" si="30"/>
        <v>229593</v>
      </c>
      <c r="M105" s="314">
        <f t="shared" si="30"/>
        <v>0</v>
      </c>
      <c r="N105" s="354">
        <f>L105/C105</f>
        <v>0.4136810810810811</v>
      </c>
    </row>
    <row r="106" spans="1:14" ht="15" hidden="1">
      <c r="A106" s="145" t="s">
        <v>207</v>
      </c>
      <c r="B106" s="135" t="s">
        <v>36</v>
      </c>
      <c r="C106" s="113"/>
      <c r="D106" s="113"/>
      <c r="E106" s="113"/>
      <c r="F106" s="113"/>
      <c r="G106" s="146"/>
      <c r="H106" s="345"/>
      <c r="I106" s="345"/>
      <c r="J106" s="115"/>
      <c r="K106" s="115"/>
      <c r="L106" s="115"/>
      <c r="M106" s="113">
        <f>J106-L106</f>
        <v>0</v>
      </c>
      <c r="N106" s="347"/>
    </row>
    <row r="107" spans="1:14" ht="15">
      <c r="A107" s="145" t="s">
        <v>208</v>
      </c>
      <c r="B107" s="135" t="s">
        <v>37</v>
      </c>
      <c r="C107" s="113">
        <v>555000</v>
      </c>
      <c r="D107" s="113">
        <f>116317+157944</f>
        <v>274261</v>
      </c>
      <c r="E107" s="113"/>
      <c r="F107" s="113"/>
      <c r="G107" s="146"/>
      <c r="H107" s="345"/>
      <c r="I107" s="345"/>
      <c r="J107" s="113">
        <v>229593</v>
      </c>
      <c r="K107" s="113">
        <v>229593</v>
      </c>
      <c r="L107" s="113">
        <v>229593</v>
      </c>
      <c r="M107" s="113">
        <f>J107-L107</f>
        <v>0</v>
      </c>
      <c r="N107" s="347">
        <f>L107/C107</f>
        <v>0.4136810810810811</v>
      </c>
    </row>
    <row r="108" spans="1:14" ht="15" hidden="1">
      <c r="A108" s="145" t="s">
        <v>209</v>
      </c>
      <c r="B108" s="135" t="s">
        <v>38</v>
      </c>
      <c r="C108" s="113"/>
      <c r="D108" s="113"/>
      <c r="E108" s="113"/>
      <c r="F108" s="113"/>
      <c r="G108" s="146"/>
      <c r="H108" s="345"/>
      <c r="I108" s="345"/>
      <c r="J108" s="113"/>
      <c r="K108" s="113"/>
      <c r="L108" s="113"/>
      <c r="M108" s="113">
        <f>J108-L108</f>
        <v>0</v>
      </c>
      <c r="N108" s="347"/>
    </row>
    <row r="109" spans="1:14" ht="15" hidden="1">
      <c r="A109" s="231" t="s">
        <v>249</v>
      </c>
      <c r="B109" s="135" t="s">
        <v>38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>
        <f>J109-L109</f>
        <v>0</v>
      </c>
      <c r="N109" s="347"/>
    </row>
    <row r="110" spans="1:14" ht="15">
      <c r="A110" s="141" t="s">
        <v>171</v>
      </c>
      <c r="B110" s="147"/>
      <c r="C110" s="143">
        <f>C111+C112+C113+C114+C115+C116+C117</f>
        <v>12420000</v>
      </c>
      <c r="D110" s="143">
        <f aca="true" t="shared" si="31" ref="D110:M110">D111+D112+D113+D114+D115+D116+D117</f>
        <v>7063270</v>
      </c>
      <c r="E110" s="143">
        <f t="shared" si="31"/>
        <v>0</v>
      </c>
      <c r="F110" s="143">
        <f t="shared" si="31"/>
        <v>0</v>
      </c>
      <c r="G110" s="143">
        <f t="shared" si="31"/>
        <v>0</v>
      </c>
      <c r="H110" s="143">
        <f t="shared" si="31"/>
        <v>0</v>
      </c>
      <c r="I110" s="143">
        <f t="shared" si="31"/>
        <v>0</v>
      </c>
      <c r="J110" s="143">
        <f t="shared" si="31"/>
        <v>9947025</v>
      </c>
      <c r="K110" s="143">
        <f t="shared" si="31"/>
        <v>9947025</v>
      </c>
      <c r="L110" s="143">
        <f t="shared" si="31"/>
        <v>5532446</v>
      </c>
      <c r="M110" s="143">
        <f t="shared" si="31"/>
        <v>4414579</v>
      </c>
      <c r="N110" s="357">
        <f>L110/C110</f>
        <v>0.44544653784219</v>
      </c>
    </row>
    <row r="111" spans="1:14" ht="15" hidden="1">
      <c r="A111" s="145" t="s">
        <v>207</v>
      </c>
      <c r="B111" s="148" t="s">
        <v>36</v>
      </c>
      <c r="C111" s="115"/>
      <c r="D111" s="115"/>
      <c r="E111" s="115"/>
      <c r="F111" s="115"/>
      <c r="G111" s="149"/>
      <c r="H111" s="150"/>
      <c r="I111" s="150"/>
      <c r="J111" s="115"/>
      <c r="K111" s="115"/>
      <c r="L111" s="115"/>
      <c r="M111" s="115">
        <f>J111-L111</f>
        <v>0</v>
      </c>
      <c r="N111" s="356"/>
    </row>
    <row r="112" spans="1:14" ht="15">
      <c r="A112" s="145" t="s">
        <v>208</v>
      </c>
      <c r="B112" s="148" t="s">
        <v>37</v>
      </c>
      <c r="C112" s="115">
        <v>4350000</v>
      </c>
      <c r="D112" s="115">
        <f>1499310+1483960</f>
        <v>2983270</v>
      </c>
      <c r="E112" s="115"/>
      <c r="F112" s="115"/>
      <c r="G112" s="149"/>
      <c r="H112" s="150"/>
      <c r="I112" s="150"/>
      <c r="J112" s="115">
        <v>2484121</v>
      </c>
      <c r="K112" s="115">
        <v>2484121</v>
      </c>
      <c r="L112" s="115">
        <v>2478596</v>
      </c>
      <c r="M112" s="115">
        <f>J112-L112</f>
        <v>5525</v>
      </c>
      <c r="N112" s="356">
        <f>L112/C112</f>
        <v>0.569792183908046</v>
      </c>
    </row>
    <row r="113" spans="1:14" ht="15" hidden="1">
      <c r="A113" s="145" t="s">
        <v>209</v>
      </c>
      <c r="B113" s="148" t="s">
        <v>38</v>
      </c>
      <c r="C113" s="115"/>
      <c r="D113" s="115"/>
      <c r="E113" s="115"/>
      <c r="F113" s="115"/>
      <c r="G113" s="149"/>
      <c r="H113" s="150"/>
      <c r="I113" s="150"/>
      <c r="J113" s="115"/>
      <c r="K113" s="115"/>
      <c r="L113" s="115"/>
      <c r="M113" s="115">
        <f>J113-L113</f>
        <v>0</v>
      </c>
      <c r="N113" s="356"/>
    </row>
    <row r="114" spans="1:14" ht="15" hidden="1">
      <c r="A114" s="231" t="s">
        <v>248</v>
      </c>
      <c r="B114" s="148" t="s">
        <v>38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>
        <f>J114-L114</f>
        <v>0</v>
      </c>
      <c r="N114" s="356"/>
    </row>
    <row r="115" spans="1:14" ht="15">
      <c r="A115" s="145" t="s">
        <v>35</v>
      </c>
      <c r="B115" s="148" t="s">
        <v>61</v>
      </c>
      <c r="C115" s="115">
        <v>7920000</v>
      </c>
      <c r="D115" s="115">
        <v>4000000</v>
      </c>
      <c r="E115" s="115"/>
      <c r="F115" s="115"/>
      <c r="G115" s="151"/>
      <c r="H115" s="345"/>
      <c r="I115" s="345"/>
      <c r="J115" s="115">
        <v>7459637</v>
      </c>
      <c r="K115" s="115">
        <v>7459637</v>
      </c>
      <c r="L115" s="115">
        <v>3050583</v>
      </c>
      <c r="M115" s="115">
        <f aca="true" t="shared" si="32" ref="M115:M134">J115-L115</f>
        <v>4409054</v>
      </c>
      <c r="N115" s="356">
        <f>L115/C115</f>
        <v>0.3851746212121212</v>
      </c>
    </row>
    <row r="116" spans="1:14" ht="15">
      <c r="A116" s="145" t="s">
        <v>236</v>
      </c>
      <c r="B116" s="148" t="s">
        <v>54</v>
      </c>
      <c r="C116" s="115">
        <v>150000</v>
      </c>
      <c r="D116" s="115">
        <f>35000+45000</f>
        <v>80000</v>
      </c>
      <c r="E116" s="115"/>
      <c r="F116" s="115"/>
      <c r="G116" s="151"/>
      <c r="H116" s="345"/>
      <c r="I116" s="345"/>
      <c r="J116" s="115">
        <v>3267</v>
      </c>
      <c r="K116" s="115">
        <v>3267</v>
      </c>
      <c r="L116" s="115">
        <v>3267</v>
      </c>
      <c r="M116" s="115">
        <f t="shared" si="32"/>
        <v>0</v>
      </c>
      <c r="N116" s="356">
        <f>L116/C116</f>
        <v>0.02178</v>
      </c>
    </row>
    <row r="117" spans="1:14" ht="15" hidden="1">
      <c r="A117" s="145" t="s">
        <v>237</v>
      </c>
      <c r="B117" s="148" t="s">
        <v>37</v>
      </c>
      <c r="C117" s="115">
        <v>0</v>
      </c>
      <c r="D117" s="115">
        <v>0</v>
      </c>
      <c r="E117" s="115"/>
      <c r="F117" s="115"/>
      <c r="G117" s="151"/>
      <c r="H117" s="345"/>
      <c r="I117" s="345"/>
      <c r="J117" s="115">
        <v>0</v>
      </c>
      <c r="K117" s="115">
        <v>0</v>
      </c>
      <c r="L117" s="115">
        <v>0</v>
      </c>
      <c r="M117" s="115">
        <f t="shared" si="32"/>
        <v>0</v>
      </c>
      <c r="N117" s="356"/>
    </row>
    <row r="118" spans="1:14" ht="15" hidden="1">
      <c r="A118" s="152" t="s">
        <v>0</v>
      </c>
      <c r="B118" s="153"/>
      <c r="C118" s="115">
        <f>D118+E118+F118+G118</f>
        <v>0</v>
      </c>
      <c r="D118" s="115"/>
      <c r="E118" s="115"/>
      <c r="F118" s="115"/>
      <c r="G118" s="151"/>
      <c r="H118" s="345"/>
      <c r="I118" s="345"/>
      <c r="J118" s="115"/>
      <c r="K118" s="115"/>
      <c r="L118" s="115"/>
      <c r="M118" s="115">
        <f t="shared" si="32"/>
        <v>0</v>
      </c>
      <c r="N118" s="356"/>
    </row>
    <row r="119" spans="1:14" ht="15" hidden="1">
      <c r="A119" s="152" t="s">
        <v>1</v>
      </c>
      <c r="B119" s="153"/>
      <c r="C119" s="115">
        <f>D119+E119+F119+G119</f>
        <v>0</v>
      </c>
      <c r="D119" s="115"/>
      <c r="E119" s="115"/>
      <c r="F119" s="115"/>
      <c r="G119" s="151"/>
      <c r="H119" s="345"/>
      <c r="I119" s="345"/>
      <c r="J119" s="115"/>
      <c r="K119" s="115"/>
      <c r="L119" s="115"/>
      <c r="M119" s="115">
        <f t="shared" si="32"/>
        <v>0</v>
      </c>
      <c r="N119" s="356"/>
    </row>
    <row r="120" spans="1:14" ht="15" hidden="1">
      <c r="A120" s="145" t="s">
        <v>182</v>
      </c>
      <c r="B120" s="153" t="s">
        <v>63</v>
      </c>
      <c r="C120" s="115"/>
      <c r="D120" s="115"/>
      <c r="E120" s="115"/>
      <c r="F120" s="115"/>
      <c r="G120" s="149"/>
      <c r="H120" s="345"/>
      <c r="I120" s="345"/>
      <c r="J120" s="115"/>
      <c r="K120" s="115"/>
      <c r="L120" s="115"/>
      <c r="M120" s="115">
        <f t="shared" si="32"/>
        <v>0</v>
      </c>
      <c r="N120" s="356"/>
    </row>
    <row r="121" spans="1:14" ht="15">
      <c r="A121" s="154" t="s">
        <v>158</v>
      </c>
      <c r="B121" s="142"/>
      <c r="C121" s="143">
        <f>C122+C123</f>
        <v>15787000</v>
      </c>
      <c r="D121" s="143">
        <f aca="true" t="shared" si="33" ref="D121:M121">D122+D123</f>
        <v>10947450</v>
      </c>
      <c r="E121" s="143">
        <f t="shared" si="33"/>
        <v>0</v>
      </c>
      <c r="F121" s="143">
        <f t="shared" si="33"/>
        <v>0</v>
      </c>
      <c r="G121" s="143">
        <f t="shared" si="33"/>
        <v>0</v>
      </c>
      <c r="H121" s="143">
        <f t="shared" si="33"/>
        <v>0</v>
      </c>
      <c r="I121" s="143">
        <f t="shared" si="33"/>
        <v>0</v>
      </c>
      <c r="J121" s="143">
        <f t="shared" si="33"/>
        <v>15787000</v>
      </c>
      <c r="K121" s="143">
        <f t="shared" si="33"/>
        <v>15787000</v>
      </c>
      <c r="L121" s="143">
        <f t="shared" si="33"/>
        <v>7923250</v>
      </c>
      <c r="M121" s="143">
        <f t="shared" si="33"/>
        <v>7863750</v>
      </c>
      <c r="N121" s="357">
        <f>L121/C121</f>
        <v>0.5018844618990308</v>
      </c>
    </row>
    <row r="122" spans="1:14" ht="15">
      <c r="A122" s="145" t="s">
        <v>209</v>
      </c>
      <c r="B122" s="148" t="s">
        <v>38</v>
      </c>
      <c r="C122" s="115">
        <v>12548000</v>
      </c>
      <c r="D122" s="115">
        <f>4513700+4543750</f>
        <v>9057450</v>
      </c>
      <c r="E122" s="115"/>
      <c r="F122" s="115"/>
      <c r="G122" s="149"/>
      <c r="H122" s="150"/>
      <c r="I122" s="150"/>
      <c r="J122" s="115">
        <v>12548000</v>
      </c>
      <c r="K122" s="115">
        <v>12548000</v>
      </c>
      <c r="L122" s="115">
        <v>6833250</v>
      </c>
      <c r="M122" s="115">
        <f t="shared" si="32"/>
        <v>5714750</v>
      </c>
      <c r="N122" s="356">
        <f>L122/C122</f>
        <v>0.5445688555945171</v>
      </c>
    </row>
    <row r="123" spans="1:14" ht="15">
      <c r="A123" s="145" t="s">
        <v>207</v>
      </c>
      <c r="B123" s="148" t="s">
        <v>36</v>
      </c>
      <c r="C123" s="115">
        <v>3239000</v>
      </c>
      <c r="D123" s="115">
        <f>794000+1096000</f>
        <v>1890000</v>
      </c>
      <c r="E123" s="115"/>
      <c r="F123" s="115"/>
      <c r="G123" s="151"/>
      <c r="H123" s="345"/>
      <c r="I123" s="345"/>
      <c r="J123" s="115">
        <v>3239000</v>
      </c>
      <c r="K123" s="115">
        <v>3239000</v>
      </c>
      <c r="L123" s="115">
        <v>1090000</v>
      </c>
      <c r="M123" s="115">
        <f t="shared" si="32"/>
        <v>2149000</v>
      </c>
      <c r="N123" s="356">
        <f>L123/C123</f>
        <v>0.33652361840074096</v>
      </c>
    </row>
    <row r="124" spans="1:14" ht="15" hidden="1">
      <c r="A124" s="145"/>
      <c r="B124" s="153"/>
      <c r="C124" s="115"/>
      <c r="D124" s="115"/>
      <c r="E124" s="115"/>
      <c r="F124" s="115"/>
      <c r="G124" s="151"/>
      <c r="H124" s="345"/>
      <c r="I124" s="345"/>
      <c r="J124" s="115"/>
      <c r="K124" s="115"/>
      <c r="L124" s="115"/>
      <c r="M124" s="115">
        <f t="shared" si="32"/>
        <v>0</v>
      </c>
      <c r="N124" s="356"/>
    </row>
    <row r="125" spans="1:14" ht="15" hidden="1">
      <c r="A125" s="145"/>
      <c r="B125" s="153"/>
      <c r="C125" s="115"/>
      <c r="D125" s="115"/>
      <c r="E125" s="115"/>
      <c r="F125" s="115"/>
      <c r="G125" s="151"/>
      <c r="H125" s="345"/>
      <c r="I125" s="345"/>
      <c r="J125" s="115"/>
      <c r="K125" s="115"/>
      <c r="L125" s="115"/>
      <c r="M125" s="115">
        <f t="shared" si="32"/>
        <v>0</v>
      </c>
      <c r="N125" s="356"/>
    </row>
    <row r="126" spans="1:14" ht="15" hidden="1">
      <c r="A126" s="145"/>
      <c r="B126" s="153"/>
      <c r="C126" s="115"/>
      <c r="D126" s="115"/>
      <c r="E126" s="115"/>
      <c r="F126" s="115"/>
      <c r="G126" s="151"/>
      <c r="H126" s="345"/>
      <c r="I126" s="345"/>
      <c r="J126" s="115"/>
      <c r="K126" s="115"/>
      <c r="L126" s="115"/>
      <c r="M126" s="115">
        <f t="shared" si="32"/>
        <v>0</v>
      </c>
      <c r="N126" s="356"/>
    </row>
    <row r="127" spans="1:14" ht="15" hidden="1">
      <c r="A127" s="145"/>
      <c r="B127" s="153"/>
      <c r="C127" s="115"/>
      <c r="D127" s="115"/>
      <c r="E127" s="115"/>
      <c r="F127" s="115"/>
      <c r="G127" s="151"/>
      <c r="H127" s="345"/>
      <c r="I127" s="345"/>
      <c r="J127" s="115"/>
      <c r="K127" s="115"/>
      <c r="L127" s="115"/>
      <c r="M127" s="115">
        <f t="shared" si="32"/>
        <v>0</v>
      </c>
      <c r="N127" s="356"/>
    </row>
    <row r="128" spans="1:14" ht="15" hidden="1">
      <c r="A128" s="152" t="s">
        <v>3</v>
      </c>
      <c r="B128" s="153"/>
      <c r="C128" s="115">
        <f>D128+E128+F128+G128</f>
        <v>0</v>
      </c>
      <c r="D128" s="115"/>
      <c r="E128" s="115"/>
      <c r="F128" s="115"/>
      <c r="G128" s="151"/>
      <c r="H128" s="345"/>
      <c r="I128" s="345"/>
      <c r="J128" s="115"/>
      <c r="K128" s="115">
        <f>J128</f>
        <v>0</v>
      </c>
      <c r="L128" s="115"/>
      <c r="M128" s="115">
        <f t="shared" si="32"/>
        <v>0</v>
      </c>
      <c r="N128" s="356"/>
    </row>
    <row r="129" spans="1:14" ht="15">
      <c r="A129" s="154" t="s">
        <v>4</v>
      </c>
      <c r="B129" s="142"/>
      <c r="C129" s="143">
        <f>C130+C131+C132+C133</f>
        <v>180000</v>
      </c>
      <c r="D129" s="143">
        <f aca="true" t="shared" si="34" ref="D129:M129">D130+D131+D132+D133</f>
        <v>110000</v>
      </c>
      <c r="E129" s="143">
        <f t="shared" si="34"/>
        <v>300000</v>
      </c>
      <c r="F129" s="143">
        <f t="shared" si="34"/>
        <v>300000</v>
      </c>
      <c r="G129" s="143">
        <f t="shared" si="34"/>
        <v>300000</v>
      </c>
      <c r="H129" s="143">
        <f t="shared" si="34"/>
        <v>300000</v>
      </c>
      <c r="I129" s="143">
        <f t="shared" si="34"/>
        <v>300000</v>
      </c>
      <c r="J129" s="143">
        <f t="shared" si="34"/>
        <v>180000</v>
      </c>
      <c r="K129" s="143">
        <f t="shared" si="34"/>
        <v>180000</v>
      </c>
      <c r="L129" s="143">
        <f t="shared" si="34"/>
        <v>77000</v>
      </c>
      <c r="M129" s="143">
        <f t="shared" si="34"/>
        <v>103000</v>
      </c>
      <c r="N129" s="357">
        <f>L129/C129</f>
        <v>0.42777777777777776</v>
      </c>
    </row>
    <row r="130" spans="1:14" ht="15">
      <c r="A130" s="155" t="s">
        <v>47</v>
      </c>
      <c r="B130" s="148" t="s">
        <v>54</v>
      </c>
      <c r="C130" s="115">
        <v>180000</v>
      </c>
      <c r="D130" s="115">
        <v>110000</v>
      </c>
      <c r="E130" s="115"/>
      <c r="F130" s="115"/>
      <c r="G130" s="151"/>
      <c r="H130" s="345"/>
      <c r="I130" s="345"/>
      <c r="J130" s="115">
        <v>180000</v>
      </c>
      <c r="K130" s="115">
        <v>180000</v>
      </c>
      <c r="L130" s="115">
        <v>77000</v>
      </c>
      <c r="M130" s="115">
        <f t="shared" si="32"/>
        <v>103000</v>
      </c>
      <c r="N130" s="356">
        <f>L130/C130</f>
        <v>0.42777777777777776</v>
      </c>
    </row>
    <row r="131" spans="1:14" ht="15" hidden="1">
      <c r="A131" s="152"/>
      <c r="B131" s="148" t="s">
        <v>37</v>
      </c>
      <c r="C131" s="115"/>
      <c r="D131" s="115"/>
      <c r="E131" s="115">
        <v>300000</v>
      </c>
      <c r="F131" s="115">
        <v>300000</v>
      </c>
      <c r="G131" s="115">
        <v>300000</v>
      </c>
      <c r="H131" s="115">
        <v>300000</v>
      </c>
      <c r="I131" s="115">
        <v>300000</v>
      </c>
      <c r="J131" s="115"/>
      <c r="K131" s="115"/>
      <c r="L131" s="115"/>
      <c r="M131" s="115">
        <f t="shared" si="32"/>
        <v>0</v>
      </c>
      <c r="N131" s="356"/>
    </row>
    <row r="132" spans="1:14" ht="15" hidden="1">
      <c r="A132" s="112"/>
      <c r="B132" s="135" t="s">
        <v>38</v>
      </c>
      <c r="C132" s="113"/>
      <c r="D132" s="113"/>
      <c r="E132" s="113"/>
      <c r="F132" s="113"/>
      <c r="G132" s="114"/>
      <c r="H132" s="345"/>
      <c r="I132" s="345"/>
      <c r="J132" s="113"/>
      <c r="K132" s="113"/>
      <c r="L132" s="113"/>
      <c r="M132" s="115">
        <f t="shared" si="32"/>
        <v>0</v>
      </c>
      <c r="N132" s="356"/>
    </row>
    <row r="133" spans="1:14" ht="15" hidden="1">
      <c r="A133" s="112"/>
      <c r="B133" s="135" t="s">
        <v>36</v>
      </c>
      <c r="C133" s="113"/>
      <c r="D133" s="113"/>
      <c r="E133" s="113"/>
      <c r="F133" s="113"/>
      <c r="G133" s="114"/>
      <c r="H133" s="345"/>
      <c r="I133" s="345"/>
      <c r="J133" s="113"/>
      <c r="K133" s="113"/>
      <c r="L133" s="113"/>
      <c r="M133" s="115">
        <f t="shared" si="32"/>
        <v>0</v>
      </c>
      <c r="N133" s="356"/>
    </row>
    <row r="134" spans="1:14" ht="15">
      <c r="A134" s="156" t="s">
        <v>7</v>
      </c>
      <c r="B134" s="116"/>
      <c r="C134" s="113"/>
      <c r="D134" s="113"/>
      <c r="E134" s="113"/>
      <c r="F134" s="113"/>
      <c r="G134" s="114"/>
      <c r="H134" s="345"/>
      <c r="I134" s="345"/>
      <c r="J134" s="120">
        <f>K134</f>
        <v>-7118</v>
      </c>
      <c r="K134" s="120">
        <f>L134</f>
        <v>-7118</v>
      </c>
      <c r="L134" s="120">
        <v>-7118</v>
      </c>
      <c r="M134" s="113">
        <f t="shared" si="32"/>
        <v>0</v>
      </c>
      <c r="N134" s="347"/>
    </row>
    <row r="135" spans="1:14" ht="15">
      <c r="A135" s="121" t="s">
        <v>8</v>
      </c>
      <c r="B135" s="116"/>
      <c r="C135" s="113"/>
      <c r="D135" s="113"/>
      <c r="E135" s="113"/>
      <c r="F135" s="113"/>
      <c r="G135" s="114"/>
      <c r="H135" s="345"/>
      <c r="I135" s="345"/>
      <c r="J135" s="113"/>
      <c r="K135" s="113"/>
      <c r="L135" s="113"/>
      <c r="M135" s="113"/>
      <c r="N135" s="347"/>
    </row>
    <row r="136" spans="1:14" ht="15">
      <c r="A136" s="157" t="s">
        <v>39</v>
      </c>
      <c r="B136" s="158" t="s">
        <v>48</v>
      </c>
      <c r="C136" s="125">
        <f>D136+E136+F136+G136</f>
        <v>0</v>
      </c>
      <c r="D136" s="125"/>
      <c r="E136" s="125"/>
      <c r="F136" s="125"/>
      <c r="G136" s="138"/>
      <c r="H136" s="345"/>
      <c r="I136" s="345"/>
      <c r="J136" s="125"/>
      <c r="K136" s="125"/>
      <c r="L136" s="125"/>
      <c r="M136" s="125">
        <f>J136-L136</f>
        <v>0</v>
      </c>
      <c r="N136" s="348"/>
    </row>
    <row r="137" spans="1:14" ht="15">
      <c r="A137" s="159" t="s">
        <v>40</v>
      </c>
      <c r="B137" s="158" t="s">
        <v>49</v>
      </c>
      <c r="C137" s="125">
        <f aca="true" t="shared" si="35" ref="C137:C148">D137+E137+F137+G137</f>
        <v>0</v>
      </c>
      <c r="D137" s="125"/>
      <c r="E137" s="125"/>
      <c r="F137" s="125"/>
      <c r="G137" s="138"/>
      <c r="H137" s="345"/>
      <c r="I137" s="345"/>
      <c r="J137" s="125"/>
      <c r="K137" s="125"/>
      <c r="L137" s="125"/>
      <c r="M137" s="125">
        <f aca="true" t="shared" si="36" ref="M137:M149">J137-L137</f>
        <v>0</v>
      </c>
      <c r="N137" s="348"/>
    </row>
    <row r="138" spans="1:14" ht="14.25">
      <c r="A138" s="157" t="s">
        <v>41</v>
      </c>
      <c r="B138" s="158" t="s">
        <v>38</v>
      </c>
      <c r="C138" s="125">
        <f>C132+C114+C113+C109+C108+C122</f>
        <v>12548000</v>
      </c>
      <c r="D138" s="125">
        <f aca="true" t="shared" si="37" ref="D138:M138">D132+D114+D113+D109+D108+D122</f>
        <v>9057450</v>
      </c>
      <c r="E138" s="125">
        <f t="shared" si="37"/>
        <v>0</v>
      </c>
      <c r="F138" s="125">
        <f t="shared" si="37"/>
        <v>0</v>
      </c>
      <c r="G138" s="125">
        <f t="shared" si="37"/>
        <v>0</v>
      </c>
      <c r="H138" s="125">
        <f t="shared" si="37"/>
        <v>0</v>
      </c>
      <c r="I138" s="125">
        <f t="shared" si="37"/>
        <v>0</v>
      </c>
      <c r="J138" s="125">
        <f t="shared" si="37"/>
        <v>12548000</v>
      </c>
      <c r="K138" s="125">
        <f t="shared" si="37"/>
        <v>12548000</v>
      </c>
      <c r="L138" s="125">
        <f t="shared" si="37"/>
        <v>6833250</v>
      </c>
      <c r="M138" s="125">
        <f t="shared" si="37"/>
        <v>5714750</v>
      </c>
      <c r="N138" s="348">
        <f>L138/C138</f>
        <v>0.5445688555945171</v>
      </c>
    </row>
    <row r="139" spans="1:14" ht="15">
      <c r="A139" s="159" t="s">
        <v>42</v>
      </c>
      <c r="B139" s="158" t="s">
        <v>50</v>
      </c>
      <c r="C139" s="125">
        <f t="shared" si="35"/>
        <v>0</v>
      </c>
      <c r="D139" s="125"/>
      <c r="E139" s="125"/>
      <c r="F139" s="125"/>
      <c r="G139" s="138"/>
      <c r="H139" s="345"/>
      <c r="I139" s="345"/>
      <c r="J139" s="125"/>
      <c r="K139" s="125"/>
      <c r="L139" s="125"/>
      <c r="M139" s="125">
        <f t="shared" si="36"/>
        <v>0</v>
      </c>
      <c r="N139" s="348"/>
    </row>
    <row r="140" spans="1:14" ht="14.25">
      <c r="A140" s="159" t="s">
        <v>43</v>
      </c>
      <c r="B140" s="158" t="s">
        <v>36</v>
      </c>
      <c r="C140" s="125">
        <f>C133+C123+C111+C106</f>
        <v>3239000</v>
      </c>
      <c r="D140" s="125">
        <f aca="true" t="shared" si="38" ref="D140:M140">D133+D123+D111+D106</f>
        <v>1890000</v>
      </c>
      <c r="E140" s="125">
        <f t="shared" si="38"/>
        <v>0</v>
      </c>
      <c r="F140" s="125">
        <f t="shared" si="38"/>
        <v>0</v>
      </c>
      <c r="G140" s="125">
        <f t="shared" si="38"/>
        <v>0</v>
      </c>
      <c r="H140" s="125">
        <f t="shared" si="38"/>
        <v>0</v>
      </c>
      <c r="I140" s="125">
        <f t="shared" si="38"/>
        <v>0</v>
      </c>
      <c r="J140" s="125">
        <f t="shared" si="38"/>
        <v>3239000</v>
      </c>
      <c r="K140" s="125">
        <f t="shared" si="38"/>
        <v>3239000</v>
      </c>
      <c r="L140" s="125">
        <f t="shared" si="38"/>
        <v>1090000</v>
      </c>
      <c r="M140" s="125">
        <f t="shared" si="38"/>
        <v>2149000</v>
      </c>
      <c r="N140" s="348">
        <f aca="true" t="shared" si="39" ref="N140:N147">L140/C140</f>
        <v>0.33652361840074096</v>
      </c>
    </row>
    <row r="141" spans="1:14" ht="15">
      <c r="A141" s="159" t="s">
        <v>44</v>
      </c>
      <c r="B141" s="158" t="s">
        <v>51</v>
      </c>
      <c r="C141" s="125">
        <f t="shared" si="35"/>
        <v>0</v>
      </c>
      <c r="D141" s="125"/>
      <c r="E141" s="125"/>
      <c r="F141" s="125"/>
      <c r="G141" s="138"/>
      <c r="H141" s="345"/>
      <c r="I141" s="345"/>
      <c r="J141" s="125"/>
      <c r="K141" s="125"/>
      <c r="L141" s="125"/>
      <c r="M141" s="125">
        <f t="shared" si="36"/>
        <v>0</v>
      </c>
      <c r="N141" s="348"/>
    </row>
    <row r="142" spans="1:14" ht="15">
      <c r="A142" s="159" t="s">
        <v>45</v>
      </c>
      <c r="B142" s="158" t="s">
        <v>52</v>
      </c>
      <c r="C142" s="125">
        <f t="shared" si="35"/>
        <v>0</v>
      </c>
      <c r="D142" s="125"/>
      <c r="E142" s="125"/>
      <c r="F142" s="125"/>
      <c r="G142" s="138"/>
      <c r="H142" s="345"/>
      <c r="I142" s="345"/>
      <c r="J142" s="125"/>
      <c r="K142" s="125"/>
      <c r="L142" s="125"/>
      <c r="M142" s="125">
        <f t="shared" si="36"/>
        <v>0</v>
      </c>
      <c r="N142" s="348"/>
    </row>
    <row r="143" spans="1:14" ht="15">
      <c r="A143" s="159" t="s">
        <v>46</v>
      </c>
      <c r="B143" s="158" t="s">
        <v>53</v>
      </c>
      <c r="C143" s="125">
        <f t="shared" si="35"/>
        <v>0</v>
      </c>
      <c r="D143" s="125"/>
      <c r="E143" s="125"/>
      <c r="F143" s="125"/>
      <c r="G143" s="138"/>
      <c r="H143" s="345"/>
      <c r="I143" s="345"/>
      <c r="J143" s="125"/>
      <c r="K143" s="125"/>
      <c r="L143" s="125"/>
      <c r="M143" s="125">
        <f t="shared" si="36"/>
        <v>0</v>
      </c>
      <c r="N143" s="348"/>
    </row>
    <row r="144" spans="1:14" ht="14.25">
      <c r="A144" s="157" t="s">
        <v>47</v>
      </c>
      <c r="B144" s="158" t="s">
        <v>54</v>
      </c>
      <c r="C144" s="125">
        <f>C130+C116</f>
        <v>330000</v>
      </c>
      <c r="D144" s="125">
        <f aca="true" t="shared" si="40" ref="D144:M144">D130+D116</f>
        <v>190000</v>
      </c>
      <c r="E144" s="125">
        <f t="shared" si="40"/>
        <v>0</v>
      </c>
      <c r="F144" s="125">
        <f t="shared" si="40"/>
        <v>0</v>
      </c>
      <c r="G144" s="125">
        <f t="shared" si="40"/>
        <v>0</v>
      </c>
      <c r="H144" s="125">
        <f t="shared" si="40"/>
        <v>0</v>
      </c>
      <c r="I144" s="125">
        <f t="shared" si="40"/>
        <v>0</v>
      </c>
      <c r="J144" s="125">
        <f t="shared" si="40"/>
        <v>183267</v>
      </c>
      <c r="K144" s="125">
        <f t="shared" si="40"/>
        <v>183267</v>
      </c>
      <c r="L144" s="125">
        <f t="shared" si="40"/>
        <v>80267</v>
      </c>
      <c r="M144" s="125">
        <f t="shared" si="40"/>
        <v>103000</v>
      </c>
      <c r="N144" s="348">
        <f t="shared" si="39"/>
        <v>0.24323333333333333</v>
      </c>
    </row>
    <row r="145" spans="1:14" ht="14.25">
      <c r="A145" s="157" t="s">
        <v>55</v>
      </c>
      <c r="B145" s="158" t="s">
        <v>37</v>
      </c>
      <c r="C145" s="125">
        <f>C131+C117+C112+C107</f>
        <v>4905000</v>
      </c>
      <c r="D145" s="125">
        <f aca="true" t="shared" si="41" ref="D145:M145">D131+D117+D112+D107</f>
        <v>3257531</v>
      </c>
      <c r="E145" s="125">
        <f t="shared" si="41"/>
        <v>300000</v>
      </c>
      <c r="F145" s="125">
        <f t="shared" si="41"/>
        <v>300000</v>
      </c>
      <c r="G145" s="125">
        <f t="shared" si="41"/>
        <v>300000</v>
      </c>
      <c r="H145" s="125">
        <f t="shared" si="41"/>
        <v>300000</v>
      </c>
      <c r="I145" s="125">
        <f t="shared" si="41"/>
        <v>300000</v>
      </c>
      <c r="J145" s="125">
        <f t="shared" si="41"/>
        <v>2713714</v>
      </c>
      <c r="K145" s="125">
        <f t="shared" si="41"/>
        <v>2713714</v>
      </c>
      <c r="L145" s="125">
        <f t="shared" si="41"/>
        <v>2708189</v>
      </c>
      <c r="M145" s="125">
        <f t="shared" si="41"/>
        <v>5525</v>
      </c>
      <c r="N145" s="348">
        <f t="shared" si="39"/>
        <v>0.5521282364933741</v>
      </c>
    </row>
    <row r="146" spans="1:14" ht="15">
      <c r="A146" s="157" t="s">
        <v>56</v>
      </c>
      <c r="B146" s="158" t="s">
        <v>60</v>
      </c>
      <c r="C146" s="125">
        <f t="shared" si="35"/>
        <v>0</v>
      </c>
      <c r="D146" s="125"/>
      <c r="E146" s="125"/>
      <c r="F146" s="125"/>
      <c r="G146" s="138"/>
      <c r="H146" s="345"/>
      <c r="I146" s="345"/>
      <c r="J146" s="125"/>
      <c r="K146" s="125"/>
      <c r="L146" s="125"/>
      <c r="M146" s="125">
        <f t="shared" si="36"/>
        <v>0</v>
      </c>
      <c r="N146" s="348"/>
    </row>
    <row r="147" spans="1:14" ht="26.25">
      <c r="A147" s="159" t="s">
        <v>57</v>
      </c>
      <c r="B147" s="158" t="s">
        <v>61</v>
      </c>
      <c r="C147" s="125">
        <f>C115</f>
        <v>7920000</v>
      </c>
      <c r="D147" s="125">
        <f>D115</f>
        <v>4000000</v>
      </c>
      <c r="E147" s="125">
        <f>E115</f>
        <v>0</v>
      </c>
      <c r="F147" s="125">
        <f>F115</f>
        <v>0</v>
      </c>
      <c r="G147" s="138">
        <f>G115</f>
        <v>0</v>
      </c>
      <c r="H147" s="421" t="s">
        <v>116</v>
      </c>
      <c r="I147" s="422"/>
      <c r="J147" s="125">
        <f>J115</f>
        <v>7459637</v>
      </c>
      <c r="K147" s="125">
        <f>K115</f>
        <v>7459637</v>
      </c>
      <c r="L147" s="125">
        <f>L115</f>
        <v>3050583</v>
      </c>
      <c r="M147" s="125">
        <f t="shared" si="36"/>
        <v>4409054</v>
      </c>
      <c r="N147" s="348">
        <f t="shared" si="39"/>
        <v>0.3851746212121212</v>
      </c>
    </row>
    <row r="148" spans="1:14" ht="15">
      <c r="A148" s="157" t="s">
        <v>58</v>
      </c>
      <c r="B148" s="158" t="s">
        <v>62</v>
      </c>
      <c r="C148" s="125">
        <f t="shared" si="35"/>
        <v>0</v>
      </c>
      <c r="D148" s="125"/>
      <c r="E148" s="125"/>
      <c r="F148" s="125"/>
      <c r="G148" s="138"/>
      <c r="H148" s="117" t="s">
        <v>108</v>
      </c>
      <c r="I148" s="122">
        <f>C110+C121+C129</f>
        <v>28387000</v>
      </c>
      <c r="J148" s="125"/>
      <c r="K148" s="125"/>
      <c r="L148" s="125"/>
      <c r="M148" s="125">
        <f t="shared" si="36"/>
        <v>0</v>
      </c>
      <c r="N148" s="348"/>
    </row>
    <row r="149" spans="1:14" ht="14.25">
      <c r="A149" s="160" t="s">
        <v>59</v>
      </c>
      <c r="B149" s="161" t="s">
        <v>63</v>
      </c>
      <c r="C149" s="162">
        <f>C127</f>
        <v>0</v>
      </c>
      <c r="D149" s="162">
        <f aca="true" t="shared" si="42" ref="D149:L149">D127</f>
        <v>0</v>
      </c>
      <c r="E149" s="162">
        <f t="shared" si="42"/>
        <v>0</v>
      </c>
      <c r="F149" s="162">
        <f t="shared" si="42"/>
        <v>0</v>
      </c>
      <c r="G149" s="162">
        <f t="shared" si="42"/>
        <v>0</v>
      </c>
      <c r="H149" s="162">
        <f t="shared" si="42"/>
        <v>0</v>
      </c>
      <c r="I149" s="162">
        <f t="shared" si="42"/>
        <v>0</v>
      </c>
      <c r="J149" s="162">
        <f t="shared" si="42"/>
        <v>0</v>
      </c>
      <c r="K149" s="162">
        <f t="shared" si="42"/>
        <v>0</v>
      </c>
      <c r="L149" s="162">
        <f t="shared" si="42"/>
        <v>0</v>
      </c>
      <c r="M149" s="125">
        <f t="shared" si="36"/>
        <v>0</v>
      </c>
      <c r="N149" s="348"/>
    </row>
    <row r="150" spans="1:14" ht="15" thickBot="1">
      <c r="A150" s="316" t="s">
        <v>7</v>
      </c>
      <c r="B150" s="163" t="s">
        <v>63</v>
      </c>
      <c r="C150" s="162"/>
      <c r="D150" s="162"/>
      <c r="E150" s="162"/>
      <c r="F150" s="162"/>
      <c r="G150" s="162"/>
      <c r="H150" s="162"/>
      <c r="I150" s="162"/>
      <c r="J150" s="164">
        <f>J134</f>
        <v>-7118</v>
      </c>
      <c r="K150" s="164">
        <f>K134</f>
        <v>-7118</v>
      </c>
      <c r="L150" s="164">
        <f>L134</f>
        <v>-7118</v>
      </c>
      <c r="M150" s="162"/>
      <c r="N150" s="349"/>
    </row>
    <row r="151" spans="1:14" ht="24.75" customHeight="1" thickBot="1">
      <c r="A151" s="300" t="s">
        <v>64</v>
      </c>
      <c r="B151" s="301" t="s">
        <v>168</v>
      </c>
      <c r="C151" s="302">
        <f>C152+C156+C162+C165+C170+C177</f>
        <v>44112000</v>
      </c>
      <c r="D151" s="302">
        <f aca="true" t="shared" si="43" ref="D151:M151">D152+D156+D162+D165+D170+D177</f>
        <v>22146400</v>
      </c>
      <c r="E151" s="302">
        <f t="shared" si="43"/>
        <v>0</v>
      </c>
      <c r="F151" s="302">
        <f t="shared" si="43"/>
        <v>0</v>
      </c>
      <c r="G151" s="302">
        <f t="shared" si="43"/>
        <v>0</v>
      </c>
      <c r="H151" s="302">
        <f t="shared" si="43"/>
        <v>0</v>
      </c>
      <c r="I151" s="302">
        <f t="shared" si="43"/>
        <v>0</v>
      </c>
      <c r="J151" s="302">
        <f t="shared" si="43"/>
        <v>20139393</v>
      </c>
      <c r="K151" s="302">
        <f t="shared" si="43"/>
        <v>20139393</v>
      </c>
      <c r="L151" s="302">
        <f t="shared" si="43"/>
        <v>19370084</v>
      </c>
      <c r="M151" s="302">
        <f t="shared" si="43"/>
        <v>769309</v>
      </c>
      <c r="N151" s="303">
        <f aca="true" t="shared" si="44" ref="N151:N158">L151/C151</f>
        <v>0.4391114435981139</v>
      </c>
    </row>
    <row r="152" spans="1:14" ht="15">
      <c r="A152" s="312" t="s">
        <v>159</v>
      </c>
      <c r="B152" s="315"/>
      <c r="C152" s="314">
        <f>C153+C154+C155</f>
        <v>18900000</v>
      </c>
      <c r="D152" s="314">
        <f aca="true" t="shared" si="45" ref="D152:M152">D153+D154+D155</f>
        <v>9670000</v>
      </c>
      <c r="E152" s="314">
        <f t="shared" si="45"/>
        <v>0</v>
      </c>
      <c r="F152" s="314">
        <f t="shared" si="45"/>
        <v>0</v>
      </c>
      <c r="G152" s="314">
        <f t="shared" si="45"/>
        <v>0</v>
      </c>
      <c r="H152" s="314">
        <f t="shared" si="45"/>
        <v>0</v>
      </c>
      <c r="I152" s="314">
        <f t="shared" si="45"/>
        <v>0</v>
      </c>
      <c r="J152" s="314">
        <f t="shared" si="45"/>
        <v>9670000</v>
      </c>
      <c r="K152" s="314">
        <f t="shared" si="45"/>
        <v>9670000</v>
      </c>
      <c r="L152" s="314">
        <f t="shared" si="45"/>
        <v>8929078</v>
      </c>
      <c r="M152" s="314">
        <f t="shared" si="45"/>
        <v>740922</v>
      </c>
      <c r="N152" s="354">
        <f t="shared" si="44"/>
        <v>0.4724379894179894</v>
      </c>
    </row>
    <row r="153" spans="1:14" ht="15">
      <c r="A153" s="240" t="s">
        <v>250</v>
      </c>
      <c r="B153" s="165" t="s">
        <v>223</v>
      </c>
      <c r="C153" s="115">
        <v>4500000</v>
      </c>
      <c r="D153" s="113">
        <f>1300000+1350000</f>
        <v>2650000</v>
      </c>
      <c r="E153" s="113"/>
      <c r="F153" s="113"/>
      <c r="G153" s="113"/>
      <c r="H153" s="113"/>
      <c r="I153" s="113"/>
      <c r="J153" s="113">
        <v>2650000</v>
      </c>
      <c r="K153" s="113">
        <v>2650000</v>
      </c>
      <c r="L153" s="113">
        <v>2411628</v>
      </c>
      <c r="M153" s="113">
        <f>J153-L153</f>
        <v>238372</v>
      </c>
      <c r="N153" s="347">
        <f t="shared" si="44"/>
        <v>0.5359173333333334</v>
      </c>
    </row>
    <row r="154" spans="1:14" ht="15">
      <c r="A154" s="137" t="s">
        <v>65</v>
      </c>
      <c r="B154" s="165" t="s">
        <v>71</v>
      </c>
      <c r="C154" s="115">
        <v>3461000</v>
      </c>
      <c r="D154" s="113">
        <f>820000+900000</f>
        <v>1720000</v>
      </c>
      <c r="E154" s="113"/>
      <c r="F154" s="113"/>
      <c r="G154" s="113"/>
      <c r="H154" s="113"/>
      <c r="I154" s="113"/>
      <c r="J154" s="113">
        <v>1720000</v>
      </c>
      <c r="K154" s="113">
        <v>1720000</v>
      </c>
      <c r="L154" s="113">
        <v>1371266</v>
      </c>
      <c r="M154" s="113">
        <f>J154-L154</f>
        <v>348734</v>
      </c>
      <c r="N154" s="347">
        <f t="shared" si="44"/>
        <v>0.3962051430222479</v>
      </c>
    </row>
    <row r="155" spans="1:14" ht="15">
      <c r="A155" s="137" t="s">
        <v>66</v>
      </c>
      <c r="B155" s="165" t="s">
        <v>181</v>
      </c>
      <c r="C155" s="115">
        <v>10939000</v>
      </c>
      <c r="D155" s="113">
        <f>2600000+2700000</f>
        <v>5300000</v>
      </c>
      <c r="E155" s="113"/>
      <c r="F155" s="113"/>
      <c r="G155" s="113"/>
      <c r="H155" s="113"/>
      <c r="I155" s="113"/>
      <c r="J155" s="113">
        <v>5300000</v>
      </c>
      <c r="K155" s="113">
        <v>5300000</v>
      </c>
      <c r="L155" s="113">
        <v>5146184</v>
      </c>
      <c r="M155" s="113">
        <f>J155-L155</f>
        <v>153816</v>
      </c>
      <c r="N155" s="347">
        <f t="shared" si="44"/>
        <v>0.4704437334308438</v>
      </c>
    </row>
    <row r="156" spans="1:14" ht="15">
      <c r="A156" s="141" t="s">
        <v>160</v>
      </c>
      <c r="B156" s="147"/>
      <c r="C156" s="143">
        <f>C157+C158+C159</f>
        <v>1630000</v>
      </c>
      <c r="D156" s="143">
        <f aca="true" t="shared" si="46" ref="D156:M156">D157+D158+D159</f>
        <v>1000000</v>
      </c>
      <c r="E156" s="143">
        <f t="shared" si="46"/>
        <v>0</v>
      </c>
      <c r="F156" s="143">
        <f t="shared" si="46"/>
        <v>0</v>
      </c>
      <c r="G156" s="143">
        <f t="shared" si="46"/>
        <v>0</v>
      </c>
      <c r="H156" s="143">
        <f t="shared" si="46"/>
        <v>0</v>
      </c>
      <c r="I156" s="143">
        <f t="shared" si="46"/>
        <v>0</v>
      </c>
      <c r="J156" s="143">
        <f>J157+J158+J159</f>
        <v>667328</v>
      </c>
      <c r="K156" s="143">
        <f>K157+K158+K159</f>
        <v>667328</v>
      </c>
      <c r="L156" s="143">
        <f t="shared" si="46"/>
        <v>667328</v>
      </c>
      <c r="M156" s="143">
        <f t="shared" si="46"/>
        <v>0</v>
      </c>
      <c r="N156" s="357">
        <f t="shared" si="44"/>
        <v>0.4094036809815951</v>
      </c>
    </row>
    <row r="157" spans="1:14" ht="15">
      <c r="A157" s="240" t="s">
        <v>250</v>
      </c>
      <c r="B157" s="165" t="s">
        <v>223</v>
      </c>
      <c r="C157" s="113">
        <v>1010000</v>
      </c>
      <c r="D157" s="113">
        <f>260000+420000</f>
        <v>680000</v>
      </c>
      <c r="E157" s="113"/>
      <c r="F157" s="113"/>
      <c r="G157" s="113"/>
      <c r="H157" s="113"/>
      <c r="I157" s="113"/>
      <c r="J157" s="113">
        <v>527065</v>
      </c>
      <c r="K157" s="113">
        <v>527065</v>
      </c>
      <c r="L157" s="113">
        <v>527065</v>
      </c>
      <c r="M157" s="113">
        <f>J157-L157</f>
        <v>0</v>
      </c>
      <c r="N157" s="347">
        <f t="shared" si="44"/>
        <v>0.5218465346534653</v>
      </c>
    </row>
    <row r="158" spans="1:14" ht="15">
      <c r="A158" s="137" t="s">
        <v>65</v>
      </c>
      <c r="B158" s="165" t="s">
        <v>71</v>
      </c>
      <c r="C158" s="113">
        <v>620000</v>
      </c>
      <c r="D158" s="113">
        <f>196000+124000</f>
        <v>320000</v>
      </c>
      <c r="E158" s="113"/>
      <c r="F158" s="113"/>
      <c r="G158" s="114"/>
      <c r="H158" s="345"/>
      <c r="I158" s="345"/>
      <c r="J158" s="113">
        <v>140263</v>
      </c>
      <c r="K158" s="113">
        <v>140263</v>
      </c>
      <c r="L158" s="113">
        <v>140263</v>
      </c>
      <c r="M158" s="113">
        <f>J158-L158</f>
        <v>0</v>
      </c>
      <c r="N158" s="347">
        <f t="shared" si="44"/>
        <v>0.22623064516129032</v>
      </c>
    </row>
    <row r="159" spans="1:14" ht="15" hidden="1">
      <c r="A159" s="137" t="s">
        <v>206</v>
      </c>
      <c r="B159" s="165" t="s">
        <v>70</v>
      </c>
      <c r="C159" s="113"/>
      <c r="D159" s="113"/>
      <c r="E159" s="113"/>
      <c r="F159" s="113"/>
      <c r="G159" s="114"/>
      <c r="H159" s="345"/>
      <c r="I159" s="345"/>
      <c r="J159" s="113"/>
      <c r="K159" s="113"/>
      <c r="L159" s="113"/>
      <c r="M159" s="113">
        <f>J159-L159</f>
        <v>0</v>
      </c>
      <c r="N159" s="347"/>
    </row>
    <row r="160" spans="1:14" ht="15" hidden="1">
      <c r="A160" s="112" t="s">
        <v>0</v>
      </c>
      <c r="B160" s="135"/>
      <c r="C160" s="113"/>
      <c r="D160" s="113"/>
      <c r="E160" s="113"/>
      <c r="F160" s="113"/>
      <c r="G160" s="114"/>
      <c r="H160" s="345"/>
      <c r="I160" s="345"/>
      <c r="J160" s="113"/>
      <c r="K160" s="113"/>
      <c r="L160" s="113"/>
      <c r="M160" s="113"/>
      <c r="N160" s="347"/>
    </row>
    <row r="161" spans="1:14" ht="15" hidden="1">
      <c r="A161" s="112" t="s">
        <v>1</v>
      </c>
      <c r="B161" s="135"/>
      <c r="C161" s="113"/>
      <c r="D161" s="113"/>
      <c r="E161" s="113"/>
      <c r="F161" s="113"/>
      <c r="G161" s="114"/>
      <c r="H161" s="345"/>
      <c r="I161" s="345"/>
      <c r="J161" s="113"/>
      <c r="K161" s="113"/>
      <c r="L161" s="113"/>
      <c r="M161" s="113"/>
      <c r="N161" s="347"/>
    </row>
    <row r="162" spans="1:14" ht="15" hidden="1">
      <c r="A162" s="141" t="s">
        <v>158</v>
      </c>
      <c r="B162" s="147"/>
      <c r="C162" s="143">
        <f>C163</f>
        <v>0</v>
      </c>
      <c r="D162" s="143">
        <f aca="true" t="shared" si="47" ref="D162:M162">D163</f>
        <v>0</v>
      </c>
      <c r="E162" s="143">
        <f t="shared" si="47"/>
        <v>0</v>
      </c>
      <c r="F162" s="143">
        <f t="shared" si="47"/>
        <v>0</v>
      </c>
      <c r="G162" s="143">
        <f t="shared" si="47"/>
        <v>0</v>
      </c>
      <c r="H162" s="143">
        <f t="shared" si="47"/>
        <v>0</v>
      </c>
      <c r="I162" s="143">
        <f t="shared" si="47"/>
        <v>0</v>
      </c>
      <c r="J162" s="143">
        <f t="shared" si="47"/>
        <v>0</v>
      </c>
      <c r="K162" s="143">
        <f t="shared" si="47"/>
        <v>0</v>
      </c>
      <c r="L162" s="143">
        <f t="shared" si="47"/>
        <v>0</v>
      </c>
      <c r="M162" s="143">
        <f t="shared" si="47"/>
        <v>0</v>
      </c>
      <c r="N162" s="357"/>
    </row>
    <row r="163" spans="1:14" ht="15" hidden="1">
      <c r="A163" s="137" t="s">
        <v>67</v>
      </c>
      <c r="B163" s="135" t="s">
        <v>72</v>
      </c>
      <c r="C163" s="113">
        <v>0</v>
      </c>
      <c r="D163" s="113"/>
      <c r="E163" s="113"/>
      <c r="F163" s="113"/>
      <c r="G163" s="114"/>
      <c r="H163" s="345"/>
      <c r="I163" s="345"/>
      <c r="J163" s="113"/>
      <c r="K163" s="113"/>
      <c r="L163" s="113"/>
      <c r="M163" s="113">
        <f>J163-L163</f>
        <v>0</v>
      </c>
      <c r="N163" s="347"/>
    </row>
    <row r="164" spans="1:14" ht="15" hidden="1">
      <c r="A164" s="112" t="s">
        <v>2</v>
      </c>
      <c r="B164" s="135"/>
      <c r="C164" s="113"/>
      <c r="D164" s="113"/>
      <c r="E164" s="113"/>
      <c r="F164" s="113"/>
      <c r="G164" s="114"/>
      <c r="H164" s="345"/>
      <c r="I164" s="345"/>
      <c r="J164" s="113"/>
      <c r="K164" s="113"/>
      <c r="L164" s="113"/>
      <c r="M164" s="113"/>
      <c r="N164" s="347"/>
    </row>
    <row r="165" spans="1:14" ht="15">
      <c r="A165" s="141" t="s">
        <v>68</v>
      </c>
      <c r="B165" s="147"/>
      <c r="C165" s="143">
        <f>C167+C168+C169+C166</f>
        <v>21130000</v>
      </c>
      <c r="D165" s="143">
        <f aca="true" t="shared" si="48" ref="D165:M165">D167+D168+D169+D166</f>
        <v>10312000</v>
      </c>
      <c r="E165" s="143">
        <f t="shared" si="48"/>
        <v>0</v>
      </c>
      <c r="F165" s="143">
        <f t="shared" si="48"/>
        <v>0</v>
      </c>
      <c r="G165" s="143">
        <f t="shared" si="48"/>
        <v>0</v>
      </c>
      <c r="H165" s="143">
        <f t="shared" si="48"/>
        <v>0</v>
      </c>
      <c r="I165" s="143">
        <f t="shared" si="48"/>
        <v>0</v>
      </c>
      <c r="J165" s="143">
        <f t="shared" si="48"/>
        <v>9340814</v>
      </c>
      <c r="K165" s="143">
        <f t="shared" si="48"/>
        <v>9340814</v>
      </c>
      <c r="L165" s="143">
        <f t="shared" si="48"/>
        <v>9312427</v>
      </c>
      <c r="M165" s="143">
        <f t="shared" si="48"/>
        <v>28387</v>
      </c>
      <c r="N165" s="357">
        <f aca="true" t="shared" si="49" ref="N165:N176">L165/C165</f>
        <v>0.44072063416942736</v>
      </c>
    </row>
    <row r="166" spans="1:14" s="166" customFormat="1" ht="15">
      <c r="A166" s="145" t="s">
        <v>235</v>
      </c>
      <c r="B166" s="148" t="s">
        <v>73</v>
      </c>
      <c r="C166" s="115">
        <v>30000</v>
      </c>
      <c r="D166" s="115">
        <v>20000</v>
      </c>
      <c r="E166" s="115"/>
      <c r="F166" s="115"/>
      <c r="G166" s="115"/>
      <c r="H166" s="115"/>
      <c r="I166" s="115"/>
      <c r="J166" s="115">
        <v>30000</v>
      </c>
      <c r="K166" s="115">
        <v>30000</v>
      </c>
      <c r="L166" s="115">
        <v>8613</v>
      </c>
      <c r="M166" s="115">
        <f>J166-L166</f>
        <v>21387</v>
      </c>
      <c r="N166" s="356">
        <f t="shared" si="49"/>
        <v>0.2871</v>
      </c>
    </row>
    <row r="167" spans="1:14" ht="15">
      <c r="A167" s="137" t="s">
        <v>204</v>
      </c>
      <c r="B167" s="135" t="s">
        <v>73</v>
      </c>
      <c r="C167" s="115">
        <v>20000</v>
      </c>
      <c r="D167" s="115">
        <v>12000</v>
      </c>
      <c r="E167" s="115"/>
      <c r="F167" s="115"/>
      <c r="G167" s="115"/>
      <c r="H167" s="115"/>
      <c r="I167" s="115"/>
      <c r="J167" s="115">
        <v>7232</v>
      </c>
      <c r="K167" s="115">
        <v>7232</v>
      </c>
      <c r="L167" s="115">
        <v>232</v>
      </c>
      <c r="M167" s="115">
        <f>J167-L167</f>
        <v>7000</v>
      </c>
      <c r="N167" s="356">
        <f t="shared" si="49"/>
        <v>0.0116</v>
      </c>
    </row>
    <row r="168" spans="1:14" ht="15">
      <c r="A168" s="137" t="s">
        <v>205</v>
      </c>
      <c r="B168" s="135" t="s">
        <v>223</v>
      </c>
      <c r="C168" s="115">
        <v>80000</v>
      </c>
      <c r="D168" s="115">
        <v>80000</v>
      </c>
      <c r="E168" s="115"/>
      <c r="F168" s="115"/>
      <c r="G168" s="115"/>
      <c r="H168" s="115"/>
      <c r="I168" s="115"/>
      <c r="J168" s="115">
        <v>9585</v>
      </c>
      <c r="K168" s="115">
        <v>9585</v>
      </c>
      <c r="L168" s="115">
        <v>9585</v>
      </c>
      <c r="M168" s="115">
        <f>J168-L168</f>
        <v>0</v>
      </c>
      <c r="N168" s="356">
        <f t="shared" si="49"/>
        <v>0.1198125</v>
      </c>
    </row>
    <row r="169" spans="1:14" ht="15">
      <c r="A169" s="137" t="s">
        <v>69</v>
      </c>
      <c r="B169" s="135" t="s">
        <v>181</v>
      </c>
      <c r="C169" s="113">
        <v>21000000</v>
      </c>
      <c r="D169" s="113">
        <f>4900000+5300000</f>
        <v>10200000</v>
      </c>
      <c r="E169" s="113"/>
      <c r="F169" s="113"/>
      <c r="G169" s="113"/>
      <c r="H169" s="113"/>
      <c r="I169" s="113"/>
      <c r="J169" s="113">
        <v>9293997</v>
      </c>
      <c r="K169" s="113">
        <v>9293997</v>
      </c>
      <c r="L169" s="113">
        <v>9293997</v>
      </c>
      <c r="M169" s="113">
        <f>J169-L169</f>
        <v>0</v>
      </c>
      <c r="N169" s="356">
        <f t="shared" si="49"/>
        <v>0.4425712857142857</v>
      </c>
    </row>
    <row r="170" spans="1:14" ht="15">
      <c r="A170" s="141" t="s">
        <v>4</v>
      </c>
      <c r="B170" s="147"/>
      <c r="C170" s="143">
        <f>C174+C173+C171+C172</f>
        <v>2452000</v>
      </c>
      <c r="D170" s="143">
        <f aca="true" t="shared" si="50" ref="D170:M170">D174+D173+D171+D172</f>
        <v>1164400</v>
      </c>
      <c r="E170" s="143">
        <f t="shared" si="50"/>
        <v>0</v>
      </c>
      <c r="F170" s="143">
        <f t="shared" si="50"/>
        <v>0</v>
      </c>
      <c r="G170" s="143">
        <f t="shared" si="50"/>
        <v>0</v>
      </c>
      <c r="H170" s="143">
        <f t="shared" si="50"/>
        <v>0</v>
      </c>
      <c r="I170" s="143">
        <f t="shared" si="50"/>
        <v>0</v>
      </c>
      <c r="J170" s="143">
        <f t="shared" si="50"/>
        <v>506479</v>
      </c>
      <c r="K170" s="143">
        <f t="shared" si="50"/>
        <v>506479</v>
      </c>
      <c r="L170" s="143">
        <f t="shared" si="50"/>
        <v>506479</v>
      </c>
      <c r="M170" s="143">
        <f t="shared" si="50"/>
        <v>0</v>
      </c>
      <c r="N170" s="357">
        <f t="shared" si="49"/>
        <v>0.20655750407830342</v>
      </c>
    </row>
    <row r="171" spans="1:14" ht="15">
      <c r="A171" s="240" t="s">
        <v>256</v>
      </c>
      <c r="B171" s="135" t="s">
        <v>223</v>
      </c>
      <c r="C171" s="115">
        <v>1800000</v>
      </c>
      <c r="D171" s="115">
        <v>800000</v>
      </c>
      <c r="E171" s="115"/>
      <c r="F171" s="115"/>
      <c r="G171" s="115"/>
      <c r="H171" s="115"/>
      <c r="I171" s="115"/>
      <c r="J171" s="115">
        <v>293545</v>
      </c>
      <c r="K171" s="115">
        <v>293545</v>
      </c>
      <c r="L171" s="115">
        <v>293545</v>
      </c>
      <c r="M171" s="113">
        <f>J171-L171</f>
        <v>0</v>
      </c>
      <c r="N171" s="347">
        <f t="shared" si="49"/>
        <v>0.16308055555555556</v>
      </c>
    </row>
    <row r="172" spans="1:14" ht="15">
      <c r="A172" s="240" t="s">
        <v>257</v>
      </c>
      <c r="B172" s="266" t="s">
        <v>223</v>
      </c>
      <c r="C172" s="115">
        <v>98000</v>
      </c>
      <c r="D172" s="115">
        <f>32000+38000</f>
        <v>70000</v>
      </c>
      <c r="E172" s="115"/>
      <c r="F172" s="115"/>
      <c r="G172" s="115"/>
      <c r="H172" s="115"/>
      <c r="I172" s="115"/>
      <c r="J172" s="115">
        <v>18022</v>
      </c>
      <c r="K172" s="115">
        <v>18022</v>
      </c>
      <c r="L172" s="115">
        <v>18022</v>
      </c>
      <c r="M172" s="113">
        <f>J172-L172</f>
        <v>0</v>
      </c>
      <c r="N172" s="347">
        <f t="shared" si="49"/>
        <v>0.18389795918367347</v>
      </c>
    </row>
    <row r="173" spans="1:14" ht="15">
      <c r="A173" s="228" t="s">
        <v>247</v>
      </c>
      <c r="B173" s="229" t="s">
        <v>71</v>
      </c>
      <c r="C173" s="115">
        <v>95400</v>
      </c>
      <c r="D173" s="115">
        <f>15000+30400</f>
        <v>45400</v>
      </c>
      <c r="E173" s="115"/>
      <c r="F173" s="115"/>
      <c r="G173" s="115"/>
      <c r="H173" s="115"/>
      <c r="I173" s="115"/>
      <c r="J173" s="115">
        <v>24339</v>
      </c>
      <c r="K173" s="115">
        <v>24339</v>
      </c>
      <c r="L173" s="115">
        <v>24339</v>
      </c>
      <c r="M173" s="113">
        <f>J173-L173</f>
        <v>0</v>
      </c>
      <c r="N173" s="347">
        <f t="shared" si="49"/>
        <v>0.255125786163522</v>
      </c>
    </row>
    <row r="174" spans="1:14" ht="15">
      <c r="A174" s="227" t="s">
        <v>66</v>
      </c>
      <c r="B174" s="230" t="s">
        <v>181</v>
      </c>
      <c r="C174" s="113">
        <v>458600</v>
      </c>
      <c r="D174" s="113">
        <f>105000+144000</f>
        <v>249000</v>
      </c>
      <c r="E174" s="113"/>
      <c r="F174" s="113"/>
      <c r="G174" s="113"/>
      <c r="H174" s="113"/>
      <c r="I174" s="113"/>
      <c r="J174" s="113">
        <v>170573</v>
      </c>
      <c r="K174" s="113">
        <v>170573</v>
      </c>
      <c r="L174" s="113">
        <v>170573</v>
      </c>
      <c r="M174" s="113">
        <f>J174-L174</f>
        <v>0</v>
      </c>
      <c r="N174" s="347">
        <f t="shared" si="49"/>
        <v>0.37194286960314</v>
      </c>
    </row>
    <row r="175" spans="1:14" ht="15" hidden="1">
      <c r="A175" s="112" t="s">
        <v>5</v>
      </c>
      <c r="B175" s="116"/>
      <c r="C175" s="113"/>
      <c r="D175" s="113"/>
      <c r="E175" s="113"/>
      <c r="F175" s="113"/>
      <c r="G175" s="114"/>
      <c r="H175" s="345"/>
      <c r="I175" s="345"/>
      <c r="J175" s="113"/>
      <c r="K175" s="113"/>
      <c r="L175" s="113"/>
      <c r="M175" s="113"/>
      <c r="N175" s="347" t="e">
        <f t="shared" si="49"/>
        <v>#DIV/0!</v>
      </c>
    </row>
    <row r="176" spans="1:14" ht="15" hidden="1">
      <c r="A176" s="112" t="s">
        <v>6</v>
      </c>
      <c r="B176" s="116"/>
      <c r="C176" s="113"/>
      <c r="D176" s="113"/>
      <c r="E176" s="113"/>
      <c r="F176" s="113"/>
      <c r="G176" s="114"/>
      <c r="H176" s="345"/>
      <c r="I176" s="345"/>
      <c r="J176" s="113"/>
      <c r="K176" s="113"/>
      <c r="L176" s="113"/>
      <c r="M176" s="113"/>
      <c r="N176" s="347" t="e">
        <f t="shared" si="49"/>
        <v>#DIV/0!</v>
      </c>
    </row>
    <row r="177" spans="1:14" ht="15">
      <c r="A177" s="119" t="s">
        <v>7</v>
      </c>
      <c r="B177" s="116"/>
      <c r="C177" s="113"/>
      <c r="D177" s="113"/>
      <c r="E177" s="113"/>
      <c r="F177" s="113"/>
      <c r="G177" s="114"/>
      <c r="H177" s="345"/>
      <c r="I177" s="345"/>
      <c r="J177" s="120">
        <f>K177</f>
        <v>-45228</v>
      </c>
      <c r="K177" s="120">
        <f>L177</f>
        <v>-45228</v>
      </c>
      <c r="L177" s="120">
        <v>-45228</v>
      </c>
      <c r="M177" s="113"/>
      <c r="N177" s="347"/>
    </row>
    <row r="178" spans="1:14" ht="15">
      <c r="A178" s="121" t="s">
        <v>8</v>
      </c>
      <c r="B178" s="116"/>
      <c r="C178" s="113"/>
      <c r="D178" s="113"/>
      <c r="E178" s="113"/>
      <c r="F178" s="113"/>
      <c r="G178" s="114"/>
      <c r="H178" s="345"/>
      <c r="I178" s="345"/>
      <c r="J178" s="113"/>
      <c r="K178" s="113"/>
      <c r="L178" s="113"/>
      <c r="M178" s="113"/>
      <c r="N178" s="347"/>
    </row>
    <row r="179" spans="1:14" ht="14.25">
      <c r="A179" s="157" t="s">
        <v>78</v>
      </c>
      <c r="B179" s="167" t="s">
        <v>181</v>
      </c>
      <c r="C179" s="125">
        <f>C169+C155+C174</f>
        <v>32397600</v>
      </c>
      <c r="D179" s="125">
        <f aca="true" t="shared" si="51" ref="D179:M179">D169+D155+D174</f>
        <v>15749000</v>
      </c>
      <c r="E179" s="125">
        <f t="shared" si="51"/>
        <v>0</v>
      </c>
      <c r="F179" s="125">
        <f t="shared" si="51"/>
        <v>0</v>
      </c>
      <c r="G179" s="125">
        <f t="shared" si="51"/>
        <v>0</v>
      </c>
      <c r="H179" s="125">
        <f t="shared" si="51"/>
        <v>0</v>
      </c>
      <c r="I179" s="125">
        <f t="shared" si="51"/>
        <v>0</v>
      </c>
      <c r="J179" s="125">
        <f t="shared" si="51"/>
        <v>14764570</v>
      </c>
      <c r="K179" s="125">
        <f t="shared" si="51"/>
        <v>14764570</v>
      </c>
      <c r="L179" s="125">
        <f t="shared" si="51"/>
        <v>14610754</v>
      </c>
      <c r="M179" s="125">
        <f t="shared" si="51"/>
        <v>153816</v>
      </c>
      <c r="N179" s="348">
        <f>L179/C179</f>
        <v>0.45098260364965304</v>
      </c>
    </row>
    <row r="180" spans="1:14" ht="14.25">
      <c r="A180" s="157" t="s">
        <v>74</v>
      </c>
      <c r="B180" s="167" t="s">
        <v>72</v>
      </c>
      <c r="C180" s="125">
        <f>C163</f>
        <v>0</v>
      </c>
      <c r="D180" s="125">
        <f aca="true" t="shared" si="52" ref="D180:L180">D163</f>
        <v>0</v>
      </c>
      <c r="E180" s="125">
        <f t="shared" si="52"/>
        <v>0</v>
      </c>
      <c r="F180" s="125">
        <f t="shared" si="52"/>
        <v>0</v>
      </c>
      <c r="G180" s="125">
        <f t="shared" si="52"/>
        <v>0</v>
      </c>
      <c r="H180" s="125">
        <f t="shared" si="52"/>
        <v>0</v>
      </c>
      <c r="I180" s="125">
        <f t="shared" si="52"/>
        <v>0</v>
      </c>
      <c r="J180" s="125">
        <f t="shared" si="52"/>
        <v>0</v>
      </c>
      <c r="K180" s="125">
        <f t="shared" si="52"/>
        <v>0</v>
      </c>
      <c r="L180" s="125">
        <f t="shared" si="52"/>
        <v>0</v>
      </c>
      <c r="M180" s="125">
        <f>J180-L180</f>
        <v>0</v>
      </c>
      <c r="N180" s="348"/>
    </row>
    <row r="181" spans="1:14" ht="15">
      <c r="A181" s="157" t="s">
        <v>75</v>
      </c>
      <c r="B181" s="167" t="s">
        <v>71</v>
      </c>
      <c r="C181" s="125">
        <f>C154+C158+C173</f>
        <v>4176400</v>
      </c>
      <c r="D181" s="125">
        <f>D158+D154+D173</f>
        <v>2085400</v>
      </c>
      <c r="E181" s="125">
        <f>E158+E154</f>
        <v>0</v>
      </c>
      <c r="F181" s="125">
        <f>F158+F154</f>
        <v>0</v>
      </c>
      <c r="G181" s="138">
        <f>G158+G154</f>
        <v>0</v>
      </c>
      <c r="H181" s="421" t="s">
        <v>115</v>
      </c>
      <c r="I181" s="422"/>
      <c r="J181" s="125">
        <f>J154+J158+J173</f>
        <v>1884602</v>
      </c>
      <c r="K181" s="125">
        <f>K154+K158+K173</f>
        <v>1884602</v>
      </c>
      <c r="L181" s="125">
        <f>L154+L158+L173</f>
        <v>1535868</v>
      </c>
      <c r="M181" s="125">
        <f>M154+M158+M173</f>
        <v>348734</v>
      </c>
      <c r="N181" s="348">
        <f>L181/C181</f>
        <v>0.3677492577339335</v>
      </c>
    </row>
    <row r="182" spans="1:14" ht="14.25">
      <c r="A182" s="157" t="s">
        <v>76</v>
      </c>
      <c r="B182" s="167" t="s">
        <v>73</v>
      </c>
      <c r="C182" s="125">
        <f aca="true" t="shared" si="53" ref="C182:I182">C167+C166</f>
        <v>50000</v>
      </c>
      <c r="D182" s="125">
        <f t="shared" si="53"/>
        <v>32000</v>
      </c>
      <c r="E182" s="125">
        <f t="shared" si="53"/>
        <v>0</v>
      </c>
      <c r="F182" s="125">
        <f t="shared" si="53"/>
        <v>0</v>
      </c>
      <c r="G182" s="125">
        <f t="shared" si="53"/>
        <v>0</v>
      </c>
      <c r="H182" s="125">
        <f t="shared" si="53"/>
        <v>0</v>
      </c>
      <c r="I182" s="125">
        <f t="shared" si="53"/>
        <v>0</v>
      </c>
      <c r="J182" s="125">
        <f>J167+J166</f>
        <v>37232</v>
      </c>
      <c r="K182" s="125">
        <f>K167+K166</f>
        <v>37232</v>
      </c>
      <c r="L182" s="125">
        <f>L167+L166</f>
        <v>8845</v>
      </c>
      <c r="M182" s="125">
        <f>J182-L182</f>
        <v>28387</v>
      </c>
      <c r="N182" s="348">
        <f>L182/C182</f>
        <v>0.1769</v>
      </c>
    </row>
    <row r="183" spans="1:14" ht="14.25">
      <c r="A183" s="160" t="s">
        <v>77</v>
      </c>
      <c r="B183" s="167" t="s">
        <v>223</v>
      </c>
      <c r="C183" s="162">
        <f>C171+C168+C157+C153+C172</f>
        <v>7488000</v>
      </c>
      <c r="D183" s="162">
        <f aca="true" t="shared" si="54" ref="D183:M183">D171+D168+D157+D153+D172</f>
        <v>4280000</v>
      </c>
      <c r="E183" s="162">
        <f t="shared" si="54"/>
        <v>0</v>
      </c>
      <c r="F183" s="162">
        <f t="shared" si="54"/>
        <v>0</v>
      </c>
      <c r="G183" s="162">
        <f t="shared" si="54"/>
        <v>0</v>
      </c>
      <c r="H183" s="162">
        <f t="shared" si="54"/>
        <v>0</v>
      </c>
      <c r="I183" s="162">
        <f t="shared" si="54"/>
        <v>0</v>
      </c>
      <c r="J183" s="162">
        <f t="shared" si="54"/>
        <v>3498217</v>
      </c>
      <c r="K183" s="162">
        <f t="shared" si="54"/>
        <v>3498217</v>
      </c>
      <c r="L183" s="162">
        <f t="shared" si="54"/>
        <v>3259845</v>
      </c>
      <c r="M183" s="162">
        <f t="shared" si="54"/>
        <v>238372</v>
      </c>
      <c r="N183" s="348">
        <f>L183/C183</f>
        <v>0.4353425480769231</v>
      </c>
    </row>
    <row r="184" spans="1:14" ht="15" thickBot="1">
      <c r="A184" s="304" t="s">
        <v>7</v>
      </c>
      <c r="B184" s="168"/>
      <c r="C184" s="162"/>
      <c r="D184" s="162"/>
      <c r="E184" s="162"/>
      <c r="F184" s="162"/>
      <c r="G184" s="162"/>
      <c r="H184" s="162"/>
      <c r="I184" s="162"/>
      <c r="J184" s="164">
        <f>J177</f>
        <v>-45228</v>
      </c>
      <c r="K184" s="164">
        <f>K177</f>
        <v>-45228</v>
      </c>
      <c r="L184" s="164">
        <f>L177</f>
        <v>-45228</v>
      </c>
      <c r="M184" s="162"/>
      <c r="N184" s="349"/>
    </row>
    <row r="185" spans="1:14" ht="24.75" customHeight="1" thickBot="1">
      <c r="A185" s="300" t="s">
        <v>79</v>
      </c>
      <c r="B185" s="301" t="s">
        <v>168</v>
      </c>
      <c r="C185" s="302">
        <f>C187+C192+C197+C199+C200</f>
        <v>18127593</v>
      </c>
      <c r="D185" s="302">
        <f aca="true" t="shared" si="55" ref="D185:M185">D187+D192+D197+D199+D200</f>
        <v>11279000</v>
      </c>
      <c r="E185" s="302">
        <f t="shared" si="55"/>
        <v>0</v>
      </c>
      <c r="F185" s="302">
        <f t="shared" si="55"/>
        <v>0</v>
      </c>
      <c r="G185" s="302">
        <f t="shared" si="55"/>
        <v>0</v>
      </c>
      <c r="H185" s="302">
        <f t="shared" si="55"/>
        <v>0</v>
      </c>
      <c r="I185" s="302">
        <f t="shared" si="55"/>
        <v>0</v>
      </c>
      <c r="J185" s="302">
        <f t="shared" si="55"/>
        <v>13222296</v>
      </c>
      <c r="K185" s="302">
        <f t="shared" si="55"/>
        <v>13222296</v>
      </c>
      <c r="L185" s="302">
        <f t="shared" si="55"/>
        <v>8205481</v>
      </c>
      <c r="M185" s="302">
        <f t="shared" si="55"/>
        <v>5016815</v>
      </c>
      <c r="N185" s="303">
        <f>L185/C185</f>
        <v>0.452651435852515</v>
      </c>
    </row>
    <row r="186" spans="1:14" ht="15" hidden="1">
      <c r="A186" s="297" t="s">
        <v>156</v>
      </c>
      <c r="B186" s="317"/>
      <c r="C186" s="298">
        <f>D186+E186+F186+G186</f>
        <v>0</v>
      </c>
      <c r="D186" s="298"/>
      <c r="E186" s="298"/>
      <c r="F186" s="298"/>
      <c r="G186" s="299"/>
      <c r="H186" s="345"/>
      <c r="I186" s="345"/>
      <c r="J186" s="298"/>
      <c r="K186" s="298"/>
      <c r="L186" s="298"/>
      <c r="M186" s="298"/>
      <c r="N186" s="346"/>
    </row>
    <row r="187" spans="1:14" ht="15">
      <c r="A187" s="141" t="s">
        <v>157</v>
      </c>
      <c r="B187" s="142"/>
      <c r="C187" s="143">
        <f>C188+C189</f>
        <v>15329593</v>
      </c>
      <c r="D187" s="143">
        <f>D188+D189</f>
        <v>9511000</v>
      </c>
      <c r="E187" s="143">
        <f aca="true" t="shared" si="56" ref="E187:M187">E188+E189</f>
        <v>0</v>
      </c>
      <c r="F187" s="143">
        <f t="shared" si="56"/>
        <v>0</v>
      </c>
      <c r="G187" s="143">
        <f t="shared" si="56"/>
        <v>0</v>
      </c>
      <c r="H187" s="143">
        <f t="shared" si="56"/>
        <v>0</v>
      </c>
      <c r="I187" s="143">
        <f t="shared" si="56"/>
        <v>0</v>
      </c>
      <c r="J187" s="143">
        <f t="shared" si="56"/>
        <v>10443256</v>
      </c>
      <c r="K187" s="143">
        <f t="shared" si="56"/>
        <v>10443256</v>
      </c>
      <c r="L187" s="143">
        <f t="shared" si="56"/>
        <v>6936454</v>
      </c>
      <c r="M187" s="143">
        <f t="shared" si="56"/>
        <v>3506802</v>
      </c>
      <c r="N187" s="357">
        <f>L187/C187</f>
        <v>0.45248781229873486</v>
      </c>
    </row>
    <row r="188" spans="1:14" ht="15">
      <c r="A188" s="137" t="s">
        <v>80</v>
      </c>
      <c r="B188" s="135" t="s">
        <v>82</v>
      </c>
      <c r="C188" s="113">
        <v>7200000</v>
      </c>
      <c r="D188" s="113">
        <v>4000000</v>
      </c>
      <c r="E188" s="113"/>
      <c r="F188" s="113"/>
      <c r="G188" s="114"/>
      <c r="H188" s="345"/>
      <c r="I188" s="345"/>
      <c r="J188" s="113">
        <v>4782128</v>
      </c>
      <c r="K188" s="113">
        <v>4782128</v>
      </c>
      <c r="L188" s="115">
        <f>3516509</f>
        <v>3516509</v>
      </c>
      <c r="M188" s="113">
        <f aca="true" t="shared" si="57" ref="M188:M198">J188-L188</f>
        <v>1265619</v>
      </c>
      <c r="N188" s="347">
        <f>L188/C188</f>
        <v>0.4884040277777778</v>
      </c>
    </row>
    <row r="189" spans="1:14" ht="15">
      <c r="A189" s="137" t="s">
        <v>81</v>
      </c>
      <c r="B189" s="135" t="s">
        <v>83</v>
      </c>
      <c r="C189" s="113">
        <v>8129593</v>
      </c>
      <c r="D189" s="113">
        <v>5511000</v>
      </c>
      <c r="E189" s="113"/>
      <c r="F189" s="113"/>
      <c r="G189" s="114"/>
      <c r="H189" s="345"/>
      <c r="I189" s="345"/>
      <c r="J189" s="293">
        <v>5661128</v>
      </c>
      <c r="K189" s="293">
        <v>5661128</v>
      </c>
      <c r="L189" s="239">
        <f>6936454-3516509</f>
        <v>3419945</v>
      </c>
      <c r="M189" s="113">
        <f t="shared" si="57"/>
        <v>2241183</v>
      </c>
      <c r="N189" s="347">
        <f aca="true" t="shared" si="58" ref="N189:N199">L189/C189</f>
        <v>0.4206785013714709</v>
      </c>
    </row>
    <row r="190" spans="1:14" ht="15" hidden="1">
      <c r="A190" s="112" t="s">
        <v>0</v>
      </c>
      <c r="B190" s="135"/>
      <c r="C190" s="113"/>
      <c r="D190" s="113"/>
      <c r="E190" s="113"/>
      <c r="F190" s="113"/>
      <c r="G190" s="114"/>
      <c r="H190" s="345"/>
      <c r="I190" s="345"/>
      <c r="J190" s="113"/>
      <c r="K190" s="113"/>
      <c r="L190" s="113"/>
      <c r="M190" s="113">
        <f t="shared" si="57"/>
        <v>0</v>
      </c>
      <c r="N190" s="347" t="e">
        <f t="shared" si="58"/>
        <v>#DIV/0!</v>
      </c>
    </row>
    <row r="191" spans="1:14" ht="15" hidden="1">
      <c r="A191" s="112" t="s">
        <v>1</v>
      </c>
      <c r="B191" s="135"/>
      <c r="C191" s="113"/>
      <c r="D191" s="113"/>
      <c r="E191" s="113"/>
      <c r="F191" s="113"/>
      <c r="G191" s="114"/>
      <c r="H191" s="345"/>
      <c r="I191" s="345"/>
      <c r="J191" s="113"/>
      <c r="K191" s="113"/>
      <c r="L191" s="113"/>
      <c r="M191" s="113">
        <f t="shared" si="57"/>
        <v>0</v>
      </c>
      <c r="N191" s="347" t="e">
        <f t="shared" si="58"/>
        <v>#DIV/0!</v>
      </c>
    </row>
    <row r="192" spans="1:14" ht="15" hidden="1">
      <c r="A192" s="112" t="s">
        <v>155</v>
      </c>
      <c r="B192" s="135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13">
        <f t="shared" si="57"/>
        <v>0</v>
      </c>
      <c r="N192" s="347" t="e">
        <f t="shared" si="58"/>
        <v>#DIV/0!</v>
      </c>
    </row>
    <row r="193" spans="1:14" ht="15" hidden="1">
      <c r="A193" s="112" t="s">
        <v>193</v>
      </c>
      <c r="B193" s="135" t="s">
        <v>83</v>
      </c>
      <c r="C193" s="115"/>
      <c r="D193" s="115"/>
      <c r="E193" s="115"/>
      <c r="F193" s="115"/>
      <c r="G193" s="149"/>
      <c r="H193" s="150"/>
      <c r="I193" s="150"/>
      <c r="J193" s="115"/>
      <c r="K193" s="115"/>
      <c r="L193" s="115"/>
      <c r="M193" s="113">
        <f t="shared" si="57"/>
        <v>0</v>
      </c>
      <c r="N193" s="347" t="e">
        <f t="shared" si="58"/>
        <v>#DIV/0!</v>
      </c>
    </row>
    <row r="194" spans="1:14" ht="15.75" customHeight="1" hidden="1">
      <c r="A194" s="169" t="s">
        <v>84</v>
      </c>
      <c r="B194" s="135" t="s">
        <v>106</v>
      </c>
      <c r="C194" s="113"/>
      <c r="D194" s="113"/>
      <c r="E194" s="113"/>
      <c r="F194" s="113"/>
      <c r="G194" s="114"/>
      <c r="H194" s="345"/>
      <c r="I194" s="345"/>
      <c r="J194" s="113"/>
      <c r="K194" s="113"/>
      <c r="L194" s="113"/>
      <c r="M194" s="113">
        <f t="shared" si="57"/>
        <v>0</v>
      </c>
      <c r="N194" s="347" t="e">
        <f t="shared" si="58"/>
        <v>#DIV/0!</v>
      </c>
    </row>
    <row r="195" spans="1:14" ht="15" hidden="1">
      <c r="A195" s="112" t="s">
        <v>2</v>
      </c>
      <c r="B195" s="135"/>
      <c r="C195" s="113"/>
      <c r="D195" s="113"/>
      <c r="E195" s="113"/>
      <c r="F195" s="113"/>
      <c r="G195" s="114"/>
      <c r="H195" s="345"/>
      <c r="I195" s="345"/>
      <c r="J195" s="113"/>
      <c r="K195" s="113"/>
      <c r="L195" s="113"/>
      <c r="M195" s="113">
        <f t="shared" si="57"/>
        <v>0</v>
      </c>
      <c r="N195" s="347" t="e">
        <f t="shared" si="58"/>
        <v>#DIV/0!</v>
      </c>
    </row>
    <row r="196" spans="1:14" ht="15" hidden="1">
      <c r="A196" s="112" t="s">
        <v>3</v>
      </c>
      <c r="B196" s="135"/>
      <c r="C196" s="113"/>
      <c r="D196" s="113"/>
      <c r="E196" s="113"/>
      <c r="F196" s="113"/>
      <c r="G196" s="114"/>
      <c r="H196" s="345"/>
      <c r="I196" s="345"/>
      <c r="J196" s="113"/>
      <c r="K196" s="113"/>
      <c r="L196" s="113"/>
      <c r="M196" s="113">
        <f t="shared" si="57"/>
        <v>0</v>
      </c>
      <c r="N196" s="347" t="e">
        <f t="shared" si="58"/>
        <v>#DIV/0!</v>
      </c>
    </row>
    <row r="197" spans="1:14" ht="15" hidden="1">
      <c r="A197" s="112" t="s">
        <v>241</v>
      </c>
      <c r="B197" s="135" t="s">
        <v>83</v>
      </c>
      <c r="C197" s="113"/>
      <c r="D197" s="113"/>
      <c r="E197" s="113"/>
      <c r="F197" s="113"/>
      <c r="G197" s="114"/>
      <c r="H197" s="345"/>
      <c r="I197" s="345"/>
      <c r="J197" s="113"/>
      <c r="K197" s="113"/>
      <c r="L197" s="113"/>
      <c r="M197" s="113">
        <f t="shared" si="57"/>
        <v>0</v>
      </c>
      <c r="N197" s="347" t="e">
        <f t="shared" si="58"/>
        <v>#DIV/0!</v>
      </c>
    </row>
    <row r="198" spans="1:14" ht="15" hidden="1">
      <c r="A198" s="112" t="s">
        <v>5</v>
      </c>
      <c r="B198" s="135"/>
      <c r="C198" s="113"/>
      <c r="D198" s="113"/>
      <c r="E198" s="113"/>
      <c r="F198" s="113"/>
      <c r="G198" s="114"/>
      <c r="H198" s="345"/>
      <c r="I198" s="345"/>
      <c r="J198" s="113"/>
      <c r="K198" s="113"/>
      <c r="L198" s="113"/>
      <c r="M198" s="113">
        <f t="shared" si="57"/>
        <v>0</v>
      </c>
      <c r="N198" s="347" t="e">
        <f t="shared" si="58"/>
        <v>#DIV/0!</v>
      </c>
    </row>
    <row r="199" spans="1:14" ht="15">
      <c r="A199" s="137" t="s">
        <v>107</v>
      </c>
      <c r="B199" s="135" t="s">
        <v>89</v>
      </c>
      <c r="C199" s="113">
        <v>2798000</v>
      </c>
      <c r="D199" s="113">
        <v>1768000</v>
      </c>
      <c r="E199" s="113"/>
      <c r="F199" s="113"/>
      <c r="G199" s="114"/>
      <c r="H199" s="345"/>
      <c r="I199" s="345"/>
      <c r="J199" s="113">
        <v>2798000</v>
      </c>
      <c r="K199" s="113">
        <v>2798000</v>
      </c>
      <c r="L199" s="113">
        <v>1287987</v>
      </c>
      <c r="M199" s="113">
        <f>J199-L199</f>
        <v>1510013</v>
      </c>
      <c r="N199" s="347">
        <f t="shared" si="58"/>
        <v>0.4603241601143674</v>
      </c>
    </row>
    <row r="200" spans="1:14" ht="15">
      <c r="A200" s="119" t="s">
        <v>7</v>
      </c>
      <c r="B200" s="116"/>
      <c r="C200" s="113"/>
      <c r="D200" s="113"/>
      <c r="E200" s="113"/>
      <c r="F200" s="113"/>
      <c r="G200" s="114"/>
      <c r="H200" s="345"/>
      <c r="I200" s="345"/>
      <c r="J200" s="120">
        <f>K200</f>
        <v>-18960</v>
      </c>
      <c r="K200" s="120">
        <f>L200</f>
        <v>-18960</v>
      </c>
      <c r="L200" s="120">
        <v>-18960</v>
      </c>
      <c r="M200" s="113"/>
      <c r="N200" s="347"/>
    </row>
    <row r="201" spans="1:14" ht="15">
      <c r="A201" s="121" t="s">
        <v>8</v>
      </c>
      <c r="B201" s="116"/>
      <c r="C201" s="113"/>
      <c r="D201" s="113"/>
      <c r="E201" s="113"/>
      <c r="F201" s="113"/>
      <c r="G201" s="114"/>
      <c r="H201" s="345"/>
      <c r="I201" s="345"/>
      <c r="J201" s="113"/>
      <c r="K201" s="113"/>
      <c r="L201" s="113"/>
      <c r="M201" s="113"/>
      <c r="N201" s="347"/>
    </row>
    <row r="202" spans="1:14" ht="14.25">
      <c r="A202" s="159" t="s">
        <v>85</v>
      </c>
      <c r="B202" s="124" t="s">
        <v>106</v>
      </c>
      <c r="C202" s="125">
        <f>C194</f>
        <v>0</v>
      </c>
      <c r="D202" s="125">
        <f aca="true" t="shared" si="59" ref="D202:L202">D194</f>
        <v>0</v>
      </c>
      <c r="E202" s="125">
        <f t="shared" si="59"/>
        <v>0</v>
      </c>
      <c r="F202" s="125">
        <f t="shared" si="59"/>
        <v>0</v>
      </c>
      <c r="G202" s="125">
        <f t="shared" si="59"/>
        <v>0</v>
      </c>
      <c r="H202" s="125">
        <f t="shared" si="59"/>
        <v>0</v>
      </c>
      <c r="I202" s="125">
        <f t="shared" si="59"/>
        <v>0</v>
      </c>
      <c r="J202" s="125">
        <f t="shared" si="59"/>
        <v>0</v>
      </c>
      <c r="K202" s="125">
        <f t="shared" si="59"/>
        <v>0</v>
      </c>
      <c r="L202" s="125">
        <f t="shared" si="59"/>
        <v>0</v>
      </c>
      <c r="M202" s="125">
        <f>J202-L202</f>
        <v>0</v>
      </c>
      <c r="N202" s="348"/>
    </row>
    <row r="203" spans="1:14" ht="15">
      <c r="A203" s="157" t="s">
        <v>86</v>
      </c>
      <c r="B203" s="124" t="s">
        <v>89</v>
      </c>
      <c r="C203" s="125">
        <f>C199</f>
        <v>2798000</v>
      </c>
      <c r="D203" s="125">
        <f>D199</f>
        <v>1768000</v>
      </c>
      <c r="E203" s="125">
        <f>E199</f>
        <v>0</v>
      </c>
      <c r="F203" s="125">
        <f>F199</f>
        <v>0</v>
      </c>
      <c r="G203" s="138">
        <f>G199</f>
        <v>0</v>
      </c>
      <c r="H203" s="422" t="s">
        <v>114</v>
      </c>
      <c r="I203" s="429"/>
      <c r="J203" s="125">
        <f>J199</f>
        <v>2798000</v>
      </c>
      <c r="K203" s="125">
        <f>K199</f>
        <v>2798000</v>
      </c>
      <c r="L203" s="125">
        <f>L199</f>
        <v>1287987</v>
      </c>
      <c r="M203" s="125">
        <f>J203-L203</f>
        <v>1510013</v>
      </c>
      <c r="N203" s="348">
        <f>L203/C203</f>
        <v>0.4603241601143674</v>
      </c>
    </row>
    <row r="204" spans="1:14" ht="14.25">
      <c r="A204" s="157" t="s">
        <v>87</v>
      </c>
      <c r="B204" s="167" t="s">
        <v>82</v>
      </c>
      <c r="C204" s="125">
        <f>C188</f>
        <v>7200000</v>
      </c>
      <c r="D204" s="125">
        <f aca="true" t="shared" si="60" ref="D204:M204">D188</f>
        <v>4000000</v>
      </c>
      <c r="E204" s="125">
        <f t="shared" si="60"/>
        <v>0</v>
      </c>
      <c r="F204" s="125">
        <f t="shared" si="60"/>
        <v>0</v>
      </c>
      <c r="G204" s="125">
        <f t="shared" si="60"/>
        <v>0</v>
      </c>
      <c r="H204" s="125">
        <f t="shared" si="60"/>
        <v>0</v>
      </c>
      <c r="I204" s="125">
        <f t="shared" si="60"/>
        <v>0</v>
      </c>
      <c r="J204" s="125">
        <f t="shared" si="60"/>
        <v>4782128</v>
      </c>
      <c r="K204" s="125">
        <f t="shared" si="60"/>
        <v>4782128</v>
      </c>
      <c r="L204" s="125">
        <f t="shared" si="60"/>
        <v>3516509</v>
      </c>
      <c r="M204" s="125">
        <f t="shared" si="60"/>
        <v>1265619</v>
      </c>
      <c r="N204" s="348">
        <f>L204/C204</f>
        <v>0.4884040277777778</v>
      </c>
    </row>
    <row r="205" spans="1:14" ht="14.25">
      <c r="A205" s="170" t="s">
        <v>88</v>
      </c>
      <c r="B205" s="167" t="s">
        <v>83</v>
      </c>
      <c r="C205" s="125">
        <f>C193+C189</f>
        <v>8129593</v>
      </c>
      <c r="D205" s="125">
        <f aca="true" t="shared" si="61" ref="D205:M205">D193+D189</f>
        <v>5511000</v>
      </c>
      <c r="E205" s="125">
        <f t="shared" si="61"/>
        <v>0</v>
      </c>
      <c r="F205" s="125">
        <f t="shared" si="61"/>
        <v>0</v>
      </c>
      <c r="G205" s="125">
        <f t="shared" si="61"/>
        <v>0</v>
      </c>
      <c r="H205" s="125">
        <f t="shared" si="61"/>
        <v>0</v>
      </c>
      <c r="I205" s="125">
        <f t="shared" si="61"/>
        <v>0</v>
      </c>
      <c r="J205" s="125">
        <f t="shared" si="61"/>
        <v>5661128</v>
      </c>
      <c r="K205" s="125">
        <f t="shared" si="61"/>
        <v>5661128</v>
      </c>
      <c r="L205" s="125">
        <f t="shared" si="61"/>
        <v>3419945</v>
      </c>
      <c r="M205" s="125">
        <f t="shared" si="61"/>
        <v>2241183</v>
      </c>
      <c r="N205" s="348">
        <f>L205/C205</f>
        <v>0.4206785013714709</v>
      </c>
    </row>
    <row r="206" spans="1:14" ht="15" thickBot="1">
      <c r="A206" s="304" t="s">
        <v>7</v>
      </c>
      <c r="B206" s="318"/>
      <c r="C206" s="162"/>
      <c r="D206" s="162">
        <f aca="true" t="shared" si="62" ref="D206:K206">D200</f>
        <v>0</v>
      </c>
      <c r="E206" s="162">
        <f t="shared" si="62"/>
        <v>0</v>
      </c>
      <c r="F206" s="162">
        <f t="shared" si="62"/>
        <v>0</v>
      </c>
      <c r="G206" s="162">
        <f t="shared" si="62"/>
        <v>0</v>
      </c>
      <c r="H206" s="162">
        <f t="shared" si="62"/>
        <v>0</v>
      </c>
      <c r="I206" s="162">
        <f t="shared" si="62"/>
        <v>0</v>
      </c>
      <c r="J206" s="164">
        <f t="shared" si="62"/>
        <v>-18960</v>
      </c>
      <c r="K206" s="164">
        <f t="shared" si="62"/>
        <v>-18960</v>
      </c>
      <c r="L206" s="164">
        <f>L200</f>
        <v>-18960</v>
      </c>
      <c r="M206" s="162"/>
      <c r="N206" s="349"/>
    </row>
    <row r="207" spans="1:14" ht="24.75" customHeight="1" thickBot="1">
      <c r="A207" s="300" t="s">
        <v>90</v>
      </c>
      <c r="B207" s="301" t="s">
        <v>168</v>
      </c>
      <c r="C207" s="302">
        <f>C209+C218</f>
        <v>7545000</v>
      </c>
      <c r="D207" s="302">
        <f aca="true" t="shared" si="63" ref="D207:M207">D209+D218</f>
        <v>5700000</v>
      </c>
      <c r="E207" s="302">
        <f t="shared" si="63"/>
        <v>4000000</v>
      </c>
      <c r="F207" s="302">
        <f t="shared" si="63"/>
        <v>4000000</v>
      </c>
      <c r="G207" s="302">
        <f t="shared" si="63"/>
        <v>2968000</v>
      </c>
      <c r="H207" s="302" t="e">
        <f t="shared" si="63"/>
        <v>#VALUE!</v>
      </c>
      <c r="I207" s="302">
        <f t="shared" si="63"/>
        <v>0</v>
      </c>
      <c r="J207" s="302">
        <f t="shared" si="63"/>
        <v>7545000</v>
      </c>
      <c r="K207" s="302">
        <f t="shared" si="63"/>
        <v>7545000</v>
      </c>
      <c r="L207" s="302">
        <f t="shared" si="63"/>
        <v>3054158</v>
      </c>
      <c r="M207" s="302">
        <f t="shared" si="63"/>
        <v>4490842</v>
      </c>
      <c r="N207" s="303">
        <f>L207/C207</f>
        <v>0.4047923127899271</v>
      </c>
    </row>
    <row r="208" spans="1:14" ht="15" customHeight="1" hidden="1">
      <c r="A208" s="297" t="s">
        <v>156</v>
      </c>
      <c r="B208" s="306"/>
      <c r="C208" s="319">
        <f>D208+E208+F208+G208</f>
        <v>0</v>
      </c>
      <c r="D208" s="320"/>
      <c r="E208" s="320"/>
      <c r="F208" s="320"/>
      <c r="G208" s="321"/>
      <c r="H208" s="345"/>
      <c r="I208" s="345"/>
      <c r="J208" s="320"/>
      <c r="K208" s="320"/>
      <c r="L208" s="320"/>
      <c r="M208" s="320"/>
      <c r="N208" s="346"/>
    </row>
    <row r="209" spans="1:14" ht="15">
      <c r="A209" s="141" t="s">
        <v>157</v>
      </c>
      <c r="B209" s="147" t="s">
        <v>92</v>
      </c>
      <c r="C209" s="143">
        <v>7545000</v>
      </c>
      <c r="D209" s="143">
        <v>5700000</v>
      </c>
      <c r="E209" s="143">
        <v>4000000</v>
      </c>
      <c r="F209" s="143">
        <v>4000000</v>
      </c>
      <c r="G209" s="172">
        <v>2968000</v>
      </c>
      <c r="H209" s="432" t="s">
        <v>113</v>
      </c>
      <c r="I209" s="430"/>
      <c r="J209" s="143">
        <v>7545000</v>
      </c>
      <c r="K209" s="143">
        <v>7545000</v>
      </c>
      <c r="L209" s="143">
        <v>3054158</v>
      </c>
      <c r="M209" s="143">
        <f>J209-L209</f>
        <v>4490842</v>
      </c>
      <c r="N209" s="357">
        <f>L209/C209</f>
        <v>0.4047923127899271</v>
      </c>
    </row>
    <row r="210" spans="1:14" ht="15" customHeight="1" hidden="1">
      <c r="A210" s="112" t="s">
        <v>0</v>
      </c>
      <c r="B210" s="116"/>
      <c r="C210" s="115">
        <f aca="true" t="shared" si="64" ref="C210:C217">D210+E210+F210+G210</f>
        <v>0</v>
      </c>
      <c r="D210" s="113"/>
      <c r="E210" s="113"/>
      <c r="F210" s="113"/>
      <c r="G210" s="114"/>
      <c r="H210" s="117" t="s">
        <v>108</v>
      </c>
      <c r="I210" s="122">
        <f>C205+C199+C197</f>
        <v>10927593</v>
      </c>
      <c r="J210" s="113"/>
      <c r="K210" s="113"/>
      <c r="L210" s="113"/>
      <c r="M210" s="113"/>
      <c r="N210" s="347"/>
    </row>
    <row r="211" spans="1:14" ht="15" customHeight="1" hidden="1">
      <c r="A211" s="112" t="s">
        <v>1</v>
      </c>
      <c r="B211" s="116"/>
      <c r="C211" s="115">
        <f t="shared" si="64"/>
        <v>0</v>
      </c>
      <c r="D211" s="113"/>
      <c r="E211" s="113"/>
      <c r="F211" s="113"/>
      <c r="G211" s="114"/>
      <c r="H211" s="117" t="s">
        <v>109</v>
      </c>
      <c r="I211" s="122">
        <f>C211+C210+C209</f>
        <v>7545000</v>
      </c>
      <c r="J211" s="113"/>
      <c r="K211" s="113"/>
      <c r="L211" s="113"/>
      <c r="M211" s="113"/>
      <c r="N211" s="347"/>
    </row>
    <row r="212" spans="1:14" ht="15" customHeight="1" hidden="1">
      <c r="A212" s="112" t="s">
        <v>155</v>
      </c>
      <c r="B212" s="116"/>
      <c r="C212" s="115">
        <f t="shared" si="64"/>
        <v>0</v>
      </c>
      <c r="D212" s="113"/>
      <c r="E212" s="113"/>
      <c r="F212" s="113"/>
      <c r="G212" s="114"/>
      <c r="H212" s="345"/>
      <c r="I212" s="345"/>
      <c r="J212" s="113"/>
      <c r="K212" s="113"/>
      <c r="L212" s="113"/>
      <c r="M212" s="113"/>
      <c r="N212" s="347"/>
    </row>
    <row r="213" spans="1:14" ht="15" customHeight="1" hidden="1">
      <c r="A213" s="112" t="s">
        <v>2</v>
      </c>
      <c r="B213" s="116"/>
      <c r="C213" s="115">
        <f t="shared" si="64"/>
        <v>0</v>
      </c>
      <c r="D213" s="113"/>
      <c r="E213" s="113"/>
      <c r="F213" s="113"/>
      <c r="G213" s="114"/>
      <c r="H213" s="345"/>
      <c r="I213" s="345"/>
      <c r="J213" s="113"/>
      <c r="K213" s="113"/>
      <c r="L213" s="113"/>
      <c r="M213" s="113"/>
      <c r="N213" s="347"/>
    </row>
    <row r="214" spans="1:14" ht="15" customHeight="1" hidden="1">
      <c r="A214" s="112" t="s">
        <v>3</v>
      </c>
      <c r="B214" s="116"/>
      <c r="C214" s="115">
        <f t="shared" si="64"/>
        <v>0</v>
      </c>
      <c r="D214" s="113"/>
      <c r="E214" s="113"/>
      <c r="F214" s="113"/>
      <c r="G214" s="114"/>
      <c r="H214" s="345"/>
      <c r="I214" s="345"/>
      <c r="J214" s="113"/>
      <c r="K214" s="113"/>
      <c r="L214" s="113"/>
      <c r="M214" s="113"/>
      <c r="N214" s="347"/>
    </row>
    <row r="215" spans="1:14" ht="15" customHeight="1" hidden="1">
      <c r="A215" s="112" t="s">
        <v>4</v>
      </c>
      <c r="B215" s="116"/>
      <c r="C215" s="115">
        <f t="shared" si="64"/>
        <v>0</v>
      </c>
      <c r="D215" s="113"/>
      <c r="E215" s="113"/>
      <c r="F215" s="113"/>
      <c r="G215" s="114"/>
      <c r="H215" s="345"/>
      <c r="I215" s="345"/>
      <c r="J215" s="113"/>
      <c r="K215" s="113"/>
      <c r="L215" s="113"/>
      <c r="M215" s="113"/>
      <c r="N215" s="347"/>
    </row>
    <row r="216" spans="1:14" ht="15" hidden="1">
      <c r="A216" s="112" t="s">
        <v>5</v>
      </c>
      <c r="B216" s="116"/>
      <c r="C216" s="115">
        <f t="shared" si="64"/>
        <v>0</v>
      </c>
      <c r="D216" s="113"/>
      <c r="E216" s="113"/>
      <c r="F216" s="113"/>
      <c r="G216" s="114"/>
      <c r="H216" s="345"/>
      <c r="I216" s="345"/>
      <c r="J216" s="113"/>
      <c r="K216" s="113"/>
      <c r="L216" s="113"/>
      <c r="M216" s="113"/>
      <c r="N216" s="347"/>
    </row>
    <row r="217" spans="1:14" ht="15" hidden="1">
      <c r="A217" s="112" t="s">
        <v>6</v>
      </c>
      <c r="B217" s="116"/>
      <c r="C217" s="115">
        <f t="shared" si="64"/>
        <v>0</v>
      </c>
      <c r="D217" s="113"/>
      <c r="E217" s="113"/>
      <c r="F217" s="113"/>
      <c r="G217" s="114"/>
      <c r="H217" s="345"/>
      <c r="I217" s="345"/>
      <c r="J217" s="113"/>
      <c r="K217" s="113"/>
      <c r="L217" s="113"/>
      <c r="M217" s="113"/>
      <c r="N217" s="347"/>
    </row>
    <row r="218" spans="1:14" ht="15">
      <c r="A218" s="119" t="s">
        <v>7</v>
      </c>
      <c r="B218" s="116"/>
      <c r="C218" s="115"/>
      <c r="D218" s="113"/>
      <c r="E218" s="113"/>
      <c r="F218" s="113"/>
      <c r="G218" s="114"/>
      <c r="H218" s="345"/>
      <c r="I218" s="345"/>
      <c r="J218" s="113"/>
      <c r="K218" s="113"/>
      <c r="L218" s="113"/>
      <c r="M218" s="113"/>
      <c r="N218" s="347"/>
    </row>
    <row r="219" spans="1:14" ht="15">
      <c r="A219" s="173" t="s">
        <v>8</v>
      </c>
      <c r="B219" s="116"/>
      <c r="C219" s="113"/>
      <c r="D219" s="113"/>
      <c r="E219" s="113"/>
      <c r="F219" s="113"/>
      <c r="G219" s="114"/>
      <c r="H219" s="117" t="s">
        <v>108</v>
      </c>
      <c r="I219" s="122">
        <f>C209</f>
        <v>7545000</v>
      </c>
      <c r="J219" s="113"/>
      <c r="K219" s="113"/>
      <c r="L219" s="113"/>
      <c r="M219" s="113"/>
      <c r="N219" s="347"/>
    </row>
    <row r="220" spans="1:14" ht="14.25">
      <c r="A220" s="160" t="s">
        <v>91</v>
      </c>
      <c r="B220" s="124" t="s">
        <v>92</v>
      </c>
      <c r="C220" s="125">
        <f>C209</f>
        <v>7545000</v>
      </c>
      <c r="D220" s="125">
        <f>D209</f>
        <v>5700000</v>
      </c>
      <c r="E220" s="125">
        <f aca="true" t="shared" si="65" ref="E220:M220">E209</f>
        <v>4000000</v>
      </c>
      <c r="F220" s="125">
        <f t="shared" si="65"/>
        <v>4000000</v>
      </c>
      <c r="G220" s="125">
        <f t="shared" si="65"/>
        <v>2968000</v>
      </c>
      <c r="H220" s="125" t="str">
        <f t="shared" si="65"/>
        <v>TOTAL 74</v>
      </c>
      <c r="I220" s="125">
        <f t="shared" si="65"/>
        <v>0</v>
      </c>
      <c r="J220" s="125">
        <f t="shared" si="65"/>
        <v>7545000</v>
      </c>
      <c r="K220" s="125">
        <f t="shared" si="65"/>
        <v>7545000</v>
      </c>
      <c r="L220" s="125">
        <f>L209</f>
        <v>3054158</v>
      </c>
      <c r="M220" s="125">
        <f t="shared" si="65"/>
        <v>4490842</v>
      </c>
      <c r="N220" s="348">
        <f>L220/C220</f>
        <v>0.4047923127899271</v>
      </c>
    </row>
    <row r="221" spans="1:14" ht="15" thickBot="1">
      <c r="A221" s="304" t="s">
        <v>7</v>
      </c>
      <c r="B221" s="174"/>
      <c r="C221" s="162"/>
      <c r="D221" s="162"/>
      <c r="E221" s="162"/>
      <c r="F221" s="162"/>
      <c r="G221" s="162"/>
      <c r="H221" s="162"/>
      <c r="I221" s="162"/>
      <c r="J221" s="162">
        <f>J218</f>
        <v>0</v>
      </c>
      <c r="K221" s="162">
        <f>K218</f>
        <v>0</v>
      </c>
      <c r="L221" s="162">
        <f>L218</f>
        <v>0</v>
      </c>
      <c r="M221" s="162"/>
      <c r="N221" s="349"/>
    </row>
    <row r="222" spans="1:14" ht="24.75" customHeight="1" thickBot="1">
      <c r="A222" s="300" t="s">
        <v>93</v>
      </c>
      <c r="B222" s="301" t="s">
        <v>168</v>
      </c>
      <c r="C222" s="302">
        <f>C224+C233</f>
        <v>800000</v>
      </c>
      <c r="D222" s="302">
        <f aca="true" t="shared" si="66" ref="D222:M222">D224+D233</f>
        <v>600000</v>
      </c>
      <c r="E222" s="302">
        <f t="shared" si="66"/>
        <v>200000</v>
      </c>
      <c r="F222" s="302">
        <f t="shared" si="66"/>
        <v>200000</v>
      </c>
      <c r="G222" s="302">
        <f t="shared" si="66"/>
        <v>0</v>
      </c>
      <c r="H222" s="302" t="e">
        <f t="shared" si="66"/>
        <v>#VALUE!</v>
      </c>
      <c r="I222" s="302">
        <f t="shared" si="66"/>
        <v>0</v>
      </c>
      <c r="J222" s="302">
        <f t="shared" si="66"/>
        <v>742198</v>
      </c>
      <c r="K222" s="302">
        <f t="shared" si="66"/>
        <v>742198</v>
      </c>
      <c r="L222" s="302">
        <f t="shared" si="66"/>
        <v>452188</v>
      </c>
      <c r="M222" s="302">
        <f t="shared" si="66"/>
        <v>290010</v>
      </c>
      <c r="N222" s="303">
        <f>L222/C222</f>
        <v>0.565235</v>
      </c>
    </row>
    <row r="223" spans="1:14" ht="15" hidden="1">
      <c r="A223" s="297" t="s">
        <v>156</v>
      </c>
      <c r="B223" s="306"/>
      <c r="C223" s="320">
        <f>D223+E223+F223+G223</f>
        <v>0</v>
      </c>
      <c r="D223" s="320"/>
      <c r="E223" s="320"/>
      <c r="F223" s="320"/>
      <c r="G223" s="321"/>
      <c r="H223" s="345"/>
      <c r="I223" s="345"/>
      <c r="J223" s="320"/>
      <c r="K223" s="320"/>
      <c r="L223" s="320"/>
      <c r="M223" s="320"/>
      <c r="N223" s="346"/>
    </row>
    <row r="224" spans="1:14" ht="15">
      <c r="A224" s="141" t="s">
        <v>157</v>
      </c>
      <c r="B224" s="147" t="s">
        <v>95</v>
      </c>
      <c r="C224" s="143">
        <v>800000</v>
      </c>
      <c r="D224" s="143">
        <v>600000</v>
      </c>
      <c r="E224" s="143">
        <v>200000</v>
      </c>
      <c r="F224" s="143">
        <v>200000</v>
      </c>
      <c r="G224" s="172"/>
      <c r="H224" s="430" t="s">
        <v>112</v>
      </c>
      <c r="I224" s="431"/>
      <c r="J224" s="143">
        <v>742198</v>
      </c>
      <c r="K224" s="143">
        <v>742198</v>
      </c>
      <c r="L224" s="143">
        <v>452188</v>
      </c>
      <c r="M224" s="143">
        <f>J224-L224</f>
        <v>290010</v>
      </c>
      <c r="N224" s="357">
        <f>L224/C224</f>
        <v>0.565235</v>
      </c>
    </row>
    <row r="225" spans="1:14" ht="15" hidden="1">
      <c r="A225" s="112" t="s">
        <v>0</v>
      </c>
      <c r="B225" s="116"/>
      <c r="C225" s="113">
        <f aca="true" t="shared" si="67" ref="C225:C232">D225+E225+F225+G225</f>
        <v>0</v>
      </c>
      <c r="D225" s="113"/>
      <c r="E225" s="113"/>
      <c r="F225" s="113"/>
      <c r="G225" s="114"/>
      <c r="H225" s="117" t="s">
        <v>108</v>
      </c>
      <c r="I225" s="122">
        <f>C220+C214+C212</f>
        <v>7545000</v>
      </c>
      <c r="J225" s="113"/>
      <c r="K225" s="113"/>
      <c r="L225" s="113"/>
      <c r="M225" s="113"/>
      <c r="N225" s="347"/>
    </row>
    <row r="226" spans="1:14" ht="15" hidden="1">
      <c r="A226" s="112" t="s">
        <v>1</v>
      </c>
      <c r="B226" s="116"/>
      <c r="C226" s="113">
        <f t="shared" si="67"/>
        <v>0</v>
      </c>
      <c r="D226" s="113"/>
      <c r="E226" s="113"/>
      <c r="F226" s="113"/>
      <c r="G226" s="114"/>
      <c r="H226" s="117" t="s">
        <v>109</v>
      </c>
      <c r="I226" s="122">
        <f>C226+C225+C224</f>
        <v>800000</v>
      </c>
      <c r="J226" s="113"/>
      <c r="K226" s="113"/>
      <c r="L226" s="113"/>
      <c r="M226" s="113"/>
      <c r="N226" s="347"/>
    </row>
    <row r="227" spans="1:14" ht="15" hidden="1">
      <c r="A227" s="112" t="s">
        <v>155</v>
      </c>
      <c r="B227" s="116"/>
      <c r="C227" s="113">
        <f t="shared" si="67"/>
        <v>0</v>
      </c>
      <c r="D227" s="113"/>
      <c r="E227" s="113"/>
      <c r="F227" s="113"/>
      <c r="G227" s="114"/>
      <c r="H227" s="345"/>
      <c r="I227" s="345"/>
      <c r="J227" s="113"/>
      <c r="K227" s="113"/>
      <c r="L227" s="113"/>
      <c r="M227" s="113"/>
      <c r="N227" s="347"/>
    </row>
    <row r="228" spans="1:14" ht="15" hidden="1">
      <c r="A228" s="112" t="s">
        <v>2</v>
      </c>
      <c r="B228" s="116"/>
      <c r="C228" s="113">
        <f t="shared" si="67"/>
        <v>0</v>
      </c>
      <c r="D228" s="113"/>
      <c r="E228" s="113"/>
      <c r="F228" s="113"/>
      <c r="G228" s="114"/>
      <c r="H228" s="345"/>
      <c r="I228" s="345"/>
      <c r="J228" s="113"/>
      <c r="K228" s="113"/>
      <c r="L228" s="113"/>
      <c r="M228" s="113"/>
      <c r="N228" s="347"/>
    </row>
    <row r="229" spans="1:14" ht="15" hidden="1">
      <c r="A229" s="112" t="s">
        <v>3</v>
      </c>
      <c r="B229" s="116"/>
      <c r="C229" s="113">
        <f t="shared" si="67"/>
        <v>0</v>
      </c>
      <c r="D229" s="113"/>
      <c r="E229" s="113"/>
      <c r="F229" s="113"/>
      <c r="G229" s="114"/>
      <c r="H229" s="345"/>
      <c r="I229" s="345"/>
      <c r="J229" s="113"/>
      <c r="K229" s="113"/>
      <c r="L229" s="113"/>
      <c r="M229" s="113"/>
      <c r="N229" s="347"/>
    </row>
    <row r="230" spans="1:14" ht="15" hidden="1">
      <c r="A230" s="112" t="s">
        <v>4</v>
      </c>
      <c r="B230" s="116"/>
      <c r="C230" s="113">
        <f t="shared" si="67"/>
        <v>0</v>
      </c>
      <c r="D230" s="113"/>
      <c r="E230" s="113"/>
      <c r="F230" s="113"/>
      <c r="G230" s="114"/>
      <c r="H230" s="345"/>
      <c r="I230" s="345"/>
      <c r="J230" s="113"/>
      <c r="K230" s="113"/>
      <c r="L230" s="113"/>
      <c r="M230" s="113"/>
      <c r="N230" s="347"/>
    </row>
    <row r="231" spans="1:14" ht="15" hidden="1">
      <c r="A231" s="112" t="s">
        <v>5</v>
      </c>
      <c r="B231" s="116"/>
      <c r="C231" s="113">
        <f t="shared" si="67"/>
        <v>0</v>
      </c>
      <c r="D231" s="113"/>
      <c r="E231" s="113"/>
      <c r="F231" s="113"/>
      <c r="G231" s="114"/>
      <c r="H231" s="345"/>
      <c r="I231" s="345"/>
      <c r="J231" s="113"/>
      <c r="K231" s="113"/>
      <c r="L231" s="113"/>
      <c r="M231" s="113"/>
      <c r="N231" s="347"/>
    </row>
    <row r="232" spans="1:14" ht="15" hidden="1">
      <c r="A232" s="112" t="s">
        <v>6</v>
      </c>
      <c r="B232" s="116"/>
      <c r="C232" s="113">
        <f t="shared" si="67"/>
        <v>0</v>
      </c>
      <c r="D232" s="113"/>
      <c r="E232" s="113"/>
      <c r="F232" s="113"/>
      <c r="G232" s="114"/>
      <c r="H232" s="345"/>
      <c r="I232" s="345"/>
      <c r="J232" s="113"/>
      <c r="K232" s="113"/>
      <c r="L232" s="113"/>
      <c r="M232" s="113"/>
      <c r="N232" s="347"/>
    </row>
    <row r="233" spans="1:14" ht="15">
      <c r="A233" s="119" t="s">
        <v>7</v>
      </c>
      <c r="B233" s="116"/>
      <c r="C233" s="113"/>
      <c r="D233" s="113"/>
      <c r="E233" s="113"/>
      <c r="F233" s="113"/>
      <c r="G233" s="114"/>
      <c r="H233" s="345"/>
      <c r="I233" s="345"/>
      <c r="J233" s="113"/>
      <c r="K233" s="113"/>
      <c r="L233" s="113"/>
      <c r="M233" s="113"/>
      <c r="N233" s="347"/>
    </row>
    <row r="234" spans="1:14" ht="15">
      <c r="A234" s="112" t="s">
        <v>8</v>
      </c>
      <c r="B234" s="116"/>
      <c r="C234" s="113"/>
      <c r="D234" s="113"/>
      <c r="E234" s="113"/>
      <c r="F234" s="113"/>
      <c r="G234" s="114"/>
      <c r="H234" s="117" t="s">
        <v>108</v>
      </c>
      <c r="I234" s="122">
        <f>C224</f>
        <v>800000</v>
      </c>
      <c r="J234" s="113"/>
      <c r="K234" s="113"/>
      <c r="L234" s="113"/>
      <c r="M234" s="113"/>
      <c r="N234" s="347"/>
    </row>
    <row r="235" spans="1:14" ht="14.25">
      <c r="A235" s="160" t="s">
        <v>94</v>
      </c>
      <c r="B235" s="124" t="s">
        <v>95</v>
      </c>
      <c r="C235" s="125">
        <f>C224</f>
        <v>800000</v>
      </c>
      <c r="D235" s="125">
        <f>D224</f>
        <v>600000</v>
      </c>
      <c r="E235" s="125">
        <f aca="true" t="shared" si="68" ref="E235:K235">E224</f>
        <v>200000</v>
      </c>
      <c r="F235" s="125">
        <f t="shared" si="68"/>
        <v>200000</v>
      </c>
      <c r="G235" s="125">
        <f t="shared" si="68"/>
        <v>0</v>
      </c>
      <c r="H235" s="125" t="str">
        <f t="shared" si="68"/>
        <v>TOTAL 83</v>
      </c>
      <c r="I235" s="125">
        <f t="shared" si="68"/>
        <v>0</v>
      </c>
      <c r="J235" s="125">
        <f t="shared" si="68"/>
        <v>742198</v>
      </c>
      <c r="K235" s="125">
        <f t="shared" si="68"/>
        <v>742198</v>
      </c>
      <c r="L235" s="125">
        <f>L224</f>
        <v>452188</v>
      </c>
      <c r="M235" s="125">
        <f>M233+M232+M231+M230+M229+M228+M227+M226+M225+M224+M223</f>
        <v>290010</v>
      </c>
      <c r="N235" s="348">
        <f>L235/C235</f>
        <v>0.565235</v>
      </c>
    </row>
    <row r="236" spans="1:14" ht="15" thickBot="1">
      <c r="A236" s="304" t="s">
        <v>7</v>
      </c>
      <c r="B236" s="174"/>
      <c r="C236" s="162"/>
      <c r="D236" s="162"/>
      <c r="E236" s="162"/>
      <c r="F236" s="162"/>
      <c r="G236" s="162"/>
      <c r="H236" s="162"/>
      <c r="I236" s="162"/>
      <c r="J236" s="162">
        <f>J233</f>
        <v>0</v>
      </c>
      <c r="K236" s="162">
        <f>K233</f>
        <v>0</v>
      </c>
      <c r="L236" s="162">
        <f>L233</f>
        <v>0</v>
      </c>
      <c r="M236" s="162"/>
      <c r="N236" s="349"/>
    </row>
    <row r="237" spans="1:14" ht="24.75" customHeight="1" thickBot="1">
      <c r="A237" s="300" t="s">
        <v>96</v>
      </c>
      <c r="B237" s="301" t="s">
        <v>168</v>
      </c>
      <c r="C237" s="302">
        <f>C239+C241+C247+C248</f>
        <v>47735297</v>
      </c>
      <c r="D237" s="302">
        <f aca="true" t="shared" si="69" ref="D237:M237">D239+D241+D247+D248</f>
        <v>25034200</v>
      </c>
      <c r="E237" s="302">
        <f t="shared" si="69"/>
        <v>0</v>
      </c>
      <c r="F237" s="302">
        <f t="shared" si="69"/>
        <v>0</v>
      </c>
      <c r="G237" s="302">
        <f t="shared" si="69"/>
        <v>0</v>
      </c>
      <c r="H237" s="302">
        <f t="shared" si="69"/>
        <v>0</v>
      </c>
      <c r="I237" s="302">
        <f t="shared" si="69"/>
        <v>0</v>
      </c>
      <c r="J237" s="302">
        <f t="shared" si="69"/>
        <v>45416346</v>
      </c>
      <c r="K237" s="302">
        <f t="shared" si="69"/>
        <v>45416346</v>
      </c>
      <c r="L237" s="302">
        <f t="shared" si="69"/>
        <v>17336414</v>
      </c>
      <c r="M237" s="302">
        <f t="shared" si="69"/>
        <v>28079932</v>
      </c>
      <c r="N237" s="303">
        <f>L237/C237</f>
        <v>0.36317809020859343</v>
      </c>
    </row>
    <row r="238" spans="1:14" ht="15" hidden="1">
      <c r="A238" s="297" t="s">
        <v>156</v>
      </c>
      <c r="B238" s="306"/>
      <c r="C238" s="320">
        <f>D238+E238+F238+G238</f>
        <v>0</v>
      </c>
      <c r="D238" s="320"/>
      <c r="E238" s="320"/>
      <c r="F238" s="320"/>
      <c r="G238" s="321"/>
      <c r="H238" s="345"/>
      <c r="I238" s="345"/>
      <c r="J238" s="320"/>
      <c r="K238" s="320"/>
      <c r="L238" s="320"/>
      <c r="M238" s="320"/>
      <c r="N238" s="346"/>
    </row>
    <row r="239" spans="1:14" ht="15">
      <c r="A239" s="141" t="s">
        <v>157</v>
      </c>
      <c r="B239" s="147" t="s">
        <v>101</v>
      </c>
      <c r="C239" s="143">
        <v>23550000</v>
      </c>
      <c r="D239" s="143">
        <f>5000000+6190000</f>
        <v>11190000</v>
      </c>
      <c r="E239" s="143"/>
      <c r="F239" s="143"/>
      <c r="G239" s="172"/>
      <c r="H239" s="358"/>
      <c r="I239" s="358"/>
      <c r="J239" s="143">
        <v>21231049</v>
      </c>
      <c r="K239" s="143">
        <v>21231049</v>
      </c>
      <c r="L239" s="143">
        <v>7378981</v>
      </c>
      <c r="M239" s="143">
        <f>J239-L239</f>
        <v>13852068</v>
      </c>
      <c r="N239" s="357">
        <f>L239/C239</f>
        <v>0.3133325265392781</v>
      </c>
    </row>
    <row r="240" spans="1:14" ht="15" hidden="1">
      <c r="A240" s="141" t="s">
        <v>0</v>
      </c>
      <c r="B240" s="147"/>
      <c r="C240" s="143"/>
      <c r="D240" s="143"/>
      <c r="E240" s="143"/>
      <c r="F240" s="143"/>
      <c r="G240" s="172"/>
      <c r="H240" s="358"/>
      <c r="I240" s="358"/>
      <c r="J240" s="143"/>
      <c r="K240" s="143"/>
      <c r="L240" s="143"/>
      <c r="M240" s="143">
        <f aca="true" t="shared" si="70" ref="M240:M247">J240-L240</f>
        <v>0</v>
      </c>
      <c r="N240" s="357" t="e">
        <f aca="true" t="shared" si="71" ref="N240:N247">L240/C240</f>
        <v>#DIV/0!</v>
      </c>
    </row>
    <row r="241" spans="1:14" ht="15">
      <c r="A241" s="141" t="s">
        <v>1</v>
      </c>
      <c r="B241" s="147" t="s">
        <v>100</v>
      </c>
      <c r="C241" s="143">
        <v>14283297</v>
      </c>
      <c r="D241" s="143">
        <v>7500000</v>
      </c>
      <c r="E241" s="143"/>
      <c r="F241" s="143"/>
      <c r="G241" s="172"/>
      <c r="H241" s="358"/>
      <c r="I241" s="358"/>
      <c r="J241" s="143">
        <v>14283297</v>
      </c>
      <c r="K241" s="143">
        <v>14283297</v>
      </c>
      <c r="L241" s="143">
        <v>5532433</v>
      </c>
      <c r="M241" s="143">
        <f t="shared" si="70"/>
        <v>8750864</v>
      </c>
      <c r="N241" s="357">
        <f t="shared" si="71"/>
        <v>0.3873358510993645</v>
      </c>
    </row>
    <row r="242" spans="1:14" ht="15" hidden="1">
      <c r="A242" s="141" t="s">
        <v>155</v>
      </c>
      <c r="B242" s="147"/>
      <c r="C242" s="143"/>
      <c r="D242" s="143"/>
      <c r="E242" s="143"/>
      <c r="F242" s="143"/>
      <c r="G242" s="172"/>
      <c r="H242" s="358"/>
      <c r="I242" s="358"/>
      <c r="J242" s="143"/>
      <c r="K242" s="143"/>
      <c r="L242" s="143"/>
      <c r="M242" s="143">
        <f t="shared" si="70"/>
        <v>0</v>
      </c>
      <c r="N242" s="357" t="e">
        <f t="shared" si="71"/>
        <v>#DIV/0!</v>
      </c>
    </row>
    <row r="243" spans="1:14" ht="15" hidden="1">
      <c r="A243" s="141" t="s">
        <v>2</v>
      </c>
      <c r="B243" s="147"/>
      <c r="C243" s="143"/>
      <c r="D243" s="143"/>
      <c r="E243" s="143"/>
      <c r="F243" s="143"/>
      <c r="G243" s="172"/>
      <c r="H243" s="358"/>
      <c r="I243" s="358"/>
      <c r="J243" s="143"/>
      <c r="K243" s="143"/>
      <c r="L243" s="143"/>
      <c r="M243" s="143">
        <f t="shared" si="70"/>
        <v>0</v>
      </c>
      <c r="N243" s="357" t="e">
        <f t="shared" si="71"/>
        <v>#DIV/0!</v>
      </c>
    </row>
    <row r="244" spans="1:14" ht="15" hidden="1">
      <c r="A244" s="141" t="s">
        <v>3</v>
      </c>
      <c r="B244" s="147"/>
      <c r="C244" s="143"/>
      <c r="D244" s="143"/>
      <c r="E244" s="143"/>
      <c r="F244" s="143"/>
      <c r="G244" s="172"/>
      <c r="H244" s="358"/>
      <c r="I244" s="358"/>
      <c r="J244" s="143"/>
      <c r="K244" s="143"/>
      <c r="L244" s="143"/>
      <c r="M244" s="143">
        <f t="shared" si="70"/>
        <v>0</v>
      </c>
      <c r="N244" s="357" t="e">
        <f t="shared" si="71"/>
        <v>#DIV/0!</v>
      </c>
    </row>
    <row r="245" spans="1:14" ht="15" hidden="1">
      <c r="A245" s="141" t="s">
        <v>4</v>
      </c>
      <c r="B245" s="147"/>
      <c r="C245" s="143"/>
      <c r="D245" s="143"/>
      <c r="E245" s="143"/>
      <c r="F245" s="143"/>
      <c r="G245" s="172"/>
      <c r="H245" s="358"/>
      <c r="I245" s="358"/>
      <c r="J245" s="143"/>
      <c r="K245" s="143"/>
      <c r="L245" s="143"/>
      <c r="M245" s="143">
        <f t="shared" si="70"/>
        <v>0</v>
      </c>
      <c r="N245" s="357" t="e">
        <f t="shared" si="71"/>
        <v>#DIV/0!</v>
      </c>
    </row>
    <row r="246" spans="1:14" ht="15" hidden="1">
      <c r="A246" s="141" t="s">
        <v>5</v>
      </c>
      <c r="B246" s="147"/>
      <c r="C246" s="143"/>
      <c r="D246" s="143"/>
      <c r="E246" s="143"/>
      <c r="F246" s="143"/>
      <c r="G246" s="172"/>
      <c r="H246" s="358"/>
      <c r="I246" s="358"/>
      <c r="J246" s="143"/>
      <c r="K246" s="143"/>
      <c r="L246" s="143"/>
      <c r="M246" s="143">
        <f t="shared" si="70"/>
        <v>0</v>
      </c>
      <c r="N246" s="357" t="e">
        <f t="shared" si="71"/>
        <v>#DIV/0!</v>
      </c>
    </row>
    <row r="247" spans="1:14" ht="15">
      <c r="A247" s="141" t="s">
        <v>6</v>
      </c>
      <c r="B247" s="147" t="s">
        <v>101</v>
      </c>
      <c r="C247" s="143">
        <v>9902000</v>
      </c>
      <c r="D247" s="143">
        <f>3344200+3000000</f>
        <v>6344200</v>
      </c>
      <c r="E247" s="143"/>
      <c r="F247" s="143"/>
      <c r="G247" s="172"/>
      <c r="H247" s="358"/>
      <c r="I247" s="358"/>
      <c r="J247" s="143">
        <v>9902000</v>
      </c>
      <c r="K247" s="143">
        <v>9902000</v>
      </c>
      <c r="L247" s="143">
        <v>4425000</v>
      </c>
      <c r="M247" s="143">
        <f t="shared" si="70"/>
        <v>5477000</v>
      </c>
      <c r="N247" s="357">
        <f t="shared" si="71"/>
        <v>0.4468794182993335</v>
      </c>
    </row>
    <row r="248" spans="1:17" ht="15">
      <c r="A248" s="119" t="s">
        <v>7</v>
      </c>
      <c r="B248" s="116"/>
      <c r="C248" s="113"/>
      <c r="D248" s="113"/>
      <c r="E248" s="113"/>
      <c r="F248" s="113"/>
      <c r="G248" s="114"/>
      <c r="H248" s="345"/>
      <c r="I248" s="345"/>
      <c r="J248" s="120">
        <f>L248</f>
        <v>0</v>
      </c>
      <c r="K248" s="120">
        <f>L248</f>
        <v>0</v>
      </c>
      <c r="L248" s="120"/>
      <c r="M248" s="113"/>
      <c r="N248" s="347"/>
      <c r="Q248" s="186"/>
    </row>
    <row r="249" spans="1:14" ht="15">
      <c r="A249" s="121" t="s">
        <v>8</v>
      </c>
      <c r="B249" s="116"/>
      <c r="C249" s="113"/>
      <c r="D249" s="113"/>
      <c r="E249" s="113"/>
      <c r="F249" s="113"/>
      <c r="G249" s="114"/>
      <c r="H249" s="345"/>
      <c r="I249" s="345"/>
      <c r="J249" s="113"/>
      <c r="K249" s="113"/>
      <c r="L249" s="113"/>
      <c r="M249" s="113"/>
      <c r="N249" s="347"/>
    </row>
    <row r="250" spans="1:14" ht="15">
      <c r="A250" s="157" t="s">
        <v>97</v>
      </c>
      <c r="B250" s="124" t="s">
        <v>100</v>
      </c>
      <c r="C250" s="125">
        <f>C241</f>
        <v>14283297</v>
      </c>
      <c r="D250" s="125">
        <f>D241</f>
        <v>7500000</v>
      </c>
      <c r="E250" s="125">
        <f>E241</f>
        <v>0</v>
      </c>
      <c r="F250" s="125">
        <f>F241</f>
        <v>0</v>
      </c>
      <c r="G250" s="138">
        <f>G241</f>
        <v>0</v>
      </c>
      <c r="H250" s="422" t="s">
        <v>111</v>
      </c>
      <c r="I250" s="429"/>
      <c r="J250" s="125">
        <f>J241</f>
        <v>14283297</v>
      </c>
      <c r="K250" s="125">
        <f>K241</f>
        <v>14283297</v>
      </c>
      <c r="L250" s="125">
        <f>L241</f>
        <v>5532433</v>
      </c>
      <c r="M250" s="125">
        <f>M241</f>
        <v>8750864</v>
      </c>
      <c r="N250" s="348">
        <f>L250/C250</f>
        <v>0.3873358510993645</v>
      </c>
    </row>
    <row r="251" spans="1:14" ht="14.25">
      <c r="A251" s="157" t="s">
        <v>98</v>
      </c>
      <c r="B251" s="124" t="s">
        <v>101</v>
      </c>
      <c r="C251" s="125">
        <f>C239+C247</f>
        <v>33452000</v>
      </c>
      <c r="D251" s="125">
        <f>D239+D247</f>
        <v>17534200</v>
      </c>
      <c r="E251" s="125">
        <f aca="true" t="shared" si="72" ref="E251:M251">E239+E247</f>
        <v>0</v>
      </c>
      <c r="F251" s="125">
        <f t="shared" si="72"/>
        <v>0</v>
      </c>
      <c r="G251" s="125">
        <f t="shared" si="72"/>
        <v>0</v>
      </c>
      <c r="H251" s="125">
        <f t="shared" si="72"/>
        <v>0</v>
      </c>
      <c r="I251" s="125">
        <f t="shared" si="72"/>
        <v>0</v>
      </c>
      <c r="J251" s="125">
        <f t="shared" si="72"/>
        <v>31133049</v>
      </c>
      <c r="K251" s="125">
        <f t="shared" si="72"/>
        <v>31133049</v>
      </c>
      <c r="L251" s="125">
        <f t="shared" si="72"/>
        <v>11803981</v>
      </c>
      <c r="M251" s="125">
        <f t="shared" si="72"/>
        <v>19329068</v>
      </c>
      <c r="N251" s="348">
        <f>L251/C251</f>
        <v>0.3528632368767189</v>
      </c>
    </row>
    <row r="252" spans="1:14" ht="15.75" thickBot="1">
      <c r="A252" s="160" t="s">
        <v>99</v>
      </c>
      <c r="B252" s="174" t="s">
        <v>102</v>
      </c>
      <c r="C252" s="162">
        <f>D252+E252+F252+G252</f>
        <v>0</v>
      </c>
      <c r="D252" s="162"/>
      <c r="E252" s="162"/>
      <c r="F252" s="162"/>
      <c r="G252" s="175"/>
      <c r="H252" s="176" t="s">
        <v>109</v>
      </c>
      <c r="I252" s="177">
        <f>C252+C251+C250</f>
        <v>47735297</v>
      </c>
      <c r="J252" s="162"/>
      <c r="K252" s="162"/>
      <c r="L252" s="162"/>
      <c r="M252" s="162"/>
      <c r="N252" s="349"/>
    </row>
    <row r="253" spans="1:16" ht="15.75" thickBot="1">
      <c r="A253" s="178" t="s">
        <v>7</v>
      </c>
      <c r="B253" s="179"/>
      <c r="C253" s="180"/>
      <c r="D253" s="180"/>
      <c r="E253" s="180"/>
      <c r="F253" s="180"/>
      <c r="G253" s="181"/>
      <c r="H253" s="182"/>
      <c r="I253" s="183"/>
      <c r="J253" s="184">
        <f>J248</f>
        <v>0</v>
      </c>
      <c r="K253" s="184">
        <f>K248</f>
        <v>0</v>
      </c>
      <c r="L253" s="184">
        <f>L248</f>
        <v>0</v>
      </c>
      <c r="M253" s="185"/>
      <c r="N253" s="241"/>
      <c r="P253" s="186"/>
    </row>
    <row r="254" spans="1:13" ht="24.75" customHeight="1" hidden="1">
      <c r="A254" s="110" t="s">
        <v>103</v>
      </c>
      <c r="B254" s="111" t="s">
        <v>168</v>
      </c>
      <c r="C254" s="187">
        <f>C262+C265</f>
        <v>0</v>
      </c>
      <c r="D254" s="187">
        <f aca="true" t="shared" si="73" ref="D254:M254">D262+D265</f>
        <v>0</v>
      </c>
      <c r="E254" s="187">
        <f t="shared" si="73"/>
        <v>6300</v>
      </c>
      <c r="F254" s="187">
        <f t="shared" si="73"/>
        <v>6300</v>
      </c>
      <c r="G254" s="187">
        <f t="shared" si="73"/>
        <v>20600</v>
      </c>
      <c r="H254" s="187" t="e">
        <f t="shared" si="73"/>
        <v>#VALUE!</v>
      </c>
      <c r="I254" s="187">
        <f t="shared" si="73"/>
        <v>0</v>
      </c>
      <c r="J254" s="187">
        <f t="shared" si="73"/>
        <v>0</v>
      </c>
      <c r="K254" s="187">
        <f t="shared" si="73"/>
        <v>0</v>
      </c>
      <c r="L254" s="187">
        <f t="shared" si="73"/>
        <v>0</v>
      </c>
      <c r="M254" s="187">
        <f t="shared" si="73"/>
        <v>0</v>
      </c>
    </row>
    <row r="255" spans="1:13" ht="15" customHeight="1" hidden="1">
      <c r="A255" s="112" t="s">
        <v>156</v>
      </c>
      <c r="B255" s="130"/>
      <c r="C255" s="171">
        <f>D255+E255+F255+G255</f>
        <v>0</v>
      </c>
      <c r="D255" s="188"/>
      <c r="E255" s="188"/>
      <c r="F255" s="188"/>
      <c r="G255" s="189"/>
      <c r="H255" s="190" t="s">
        <v>108</v>
      </c>
      <c r="I255" s="191">
        <f>C250</f>
        <v>14283297</v>
      </c>
      <c r="J255" s="188"/>
      <c r="K255" s="188"/>
      <c r="L255" s="188"/>
      <c r="M255" s="188"/>
    </row>
    <row r="256" spans="1:13" ht="15" customHeight="1" hidden="1">
      <c r="A256" s="112" t="s">
        <v>157</v>
      </c>
      <c r="B256" s="130"/>
      <c r="C256" s="171">
        <f aca="true" t="shared" si="74" ref="C256:C264">D256+E256+F256+G256</f>
        <v>0</v>
      </c>
      <c r="D256" s="188"/>
      <c r="E256" s="188"/>
      <c r="F256" s="188"/>
      <c r="G256" s="189"/>
      <c r="H256" s="190" t="s">
        <v>109</v>
      </c>
      <c r="I256" s="191">
        <f>C256</f>
        <v>0</v>
      </c>
      <c r="J256" s="188"/>
      <c r="K256" s="188"/>
      <c r="L256" s="188"/>
      <c r="M256" s="188"/>
    </row>
    <row r="257" spans="1:13" ht="15" hidden="1">
      <c r="A257" s="112" t="s">
        <v>0</v>
      </c>
      <c r="B257" s="130"/>
      <c r="C257" s="171">
        <f t="shared" si="74"/>
        <v>0</v>
      </c>
      <c r="D257" s="188"/>
      <c r="E257" s="188"/>
      <c r="F257" s="188"/>
      <c r="G257" s="189"/>
      <c r="J257" s="188"/>
      <c r="K257" s="188"/>
      <c r="L257" s="188"/>
      <c r="M257" s="188"/>
    </row>
    <row r="258" spans="1:13" ht="15" hidden="1">
      <c r="A258" s="112" t="s">
        <v>1</v>
      </c>
      <c r="B258" s="130"/>
      <c r="C258" s="171">
        <f t="shared" si="74"/>
        <v>0</v>
      </c>
      <c r="D258" s="188"/>
      <c r="E258" s="188"/>
      <c r="F258" s="188"/>
      <c r="G258" s="189"/>
      <c r="J258" s="188"/>
      <c r="K258" s="188"/>
      <c r="L258" s="188"/>
      <c r="M258" s="188"/>
    </row>
    <row r="259" spans="1:13" ht="15" hidden="1">
      <c r="A259" s="112" t="s">
        <v>155</v>
      </c>
      <c r="B259" s="130"/>
      <c r="C259" s="171">
        <f t="shared" si="74"/>
        <v>0</v>
      </c>
      <c r="D259" s="188"/>
      <c r="E259" s="188"/>
      <c r="F259" s="188"/>
      <c r="G259" s="189"/>
      <c r="J259" s="188"/>
      <c r="K259" s="188"/>
      <c r="L259" s="188"/>
      <c r="M259" s="188"/>
    </row>
    <row r="260" spans="1:13" ht="15" hidden="1">
      <c r="A260" s="112" t="s">
        <v>2</v>
      </c>
      <c r="B260" s="130"/>
      <c r="C260" s="171">
        <f t="shared" si="74"/>
        <v>0</v>
      </c>
      <c r="D260" s="188"/>
      <c r="E260" s="188"/>
      <c r="F260" s="188"/>
      <c r="G260" s="189"/>
      <c r="J260" s="188"/>
      <c r="K260" s="188"/>
      <c r="L260" s="188"/>
      <c r="M260" s="188"/>
    </row>
    <row r="261" spans="1:13" ht="15" hidden="1">
      <c r="A261" s="112" t="s">
        <v>3</v>
      </c>
      <c r="B261" s="130"/>
      <c r="C261" s="171">
        <f t="shared" si="74"/>
        <v>0</v>
      </c>
      <c r="D261" s="188"/>
      <c r="E261" s="188"/>
      <c r="F261" s="188"/>
      <c r="G261" s="189"/>
      <c r="J261" s="188"/>
      <c r="K261" s="188"/>
      <c r="L261" s="188"/>
      <c r="M261" s="188"/>
    </row>
    <row r="262" spans="1:13" ht="15" hidden="1">
      <c r="A262" s="112" t="s">
        <v>4</v>
      </c>
      <c r="B262" s="116"/>
      <c r="C262" s="113"/>
      <c r="D262" s="192"/>
      <c r="E262" s="192">
        <v>6300</v>
      </c>
      <c r="F262" s="192">
        <v>6300</v>
      </c>
      <c r="G262" s="193">
        <v>20600</v>
      </c>
      <c r="H262" s="427" t="s">
        <v>110</v>
      </c>
      <c r="I262" s="428"/>
      <c r="J262" s="192"/>
      <c r="K262" s="192"/>
      <c r="L262" s="192"/>
      <c r="M262" s="192">
        <f>J262-L262</f>
        <v>0</v>
      </c>
    </row>
    <row r="263" spans="1:13" ht="15" hidden="1">
      <c r="A263" s="112" t="s">
        <v>5</v>
      </c>
      <c r="B263" s="116"/>
      <c r="C263" s="113">
        <f t="shared" si="74"/>
        <v>0</v>
      </c>
      <c r="D263" s="192"/>
      <c r="E263" s="192"/>
      <c r="F263" s="192"/>
      <c r="G263" s="193"/>
      <c r="H263" s="194"/>
      <c r="I263" s="195"/>
      <c r="J263" s="192"/>
      <c r="K263" s="192"/>
      <c r="L263" s="192"/>
      <c r="M263" s="192"/>
    </row>
    <row r="264" spans="1:13" ht="15" hidden="1">
      <c r="A264" s="112" t="s">
        <v>6</v>
      </c>
      <c r="B264" s="116"/>
      <c r="C264" s="113">
        <f t="shared" si="74"/>
        <v>0</v>
      </c>
      <c r="D264" s="192"/>
      <c r="E264" s="192"/>
      <c r="F264" s="192"/>
      <c r="G264" s="193"/>
      <c r="H264" s="194"/>
      <c r="I264" s="195"/>
      <c r="J264" s="192"/>
      <c r="K264" s="192"/>
      <c r="L264" s="192"/>
      <c r="M264" s="192"/>
    </row>
    <row r="265" spans="1:13" ht="15" hidden="1">
      <c r="A265" s="119" t="s">
        <v>7</v>
      </c>
      <c r="B265" s="116"/>
      <c r="C265" s="113"/>
      <c r="D265" s="192"/>
      <c r="E265" s="192"/>
      <c r="F265" s="192"/>
      <c r="G265" s="193"/>
      <c r="H265" s="194"/>
      <c r="I265" s="195"/>
      <c r="J265" s="192"/>
      <c r="K265" s="192"/>
      <c r="L265" s="192"/>
      <c r="M265" s="192"/>
    </row>
    <row r="266" spans="1:13" ht="12.75" hidden="1">
      <c r="A266" s="121" t="s">
        <v>8</v>
      </c>
      <c r="B266" s="116"/>
      <c r="C266" s="192"/>
      <c r="D266" s="192"/>
      <c r="E266" s="192"/>
      <c r="F266" s="192"/>
      <c r="G266" s="193"/>
      <c r="H266" s="194" t="s">
        <v>108</v>
      </c>
      <c r="I266" s="196">
        <f>C262</f>
        <v>0</v>
      </c>
      <c r="J266" s="192"/>
      <c r="K266" s="192"/>
      <c r="L266" s="192"/>
      <c r="M266" s="192"/>
    </row>
    <row r="267" spans="1:13" ht="15" hidden="1" thickBot="1">
      <c r="A267" s="197" t="s">
        <v>104</v>
      </c>
      <c r="B267" s="124" t="s">
        <v>105</v>
      </c>
      <c r="C267" s="125"/>
      <c r="D267" s="198">
        <f>D262</f>
        <v>0</v>
      </c>
      <c r="E267" s="198">
        <f aca="true" t="shared" si="75" ref="E267:M267">E262</f>
        <v>6300</v>
      </c>
      <c r="F267" s="198">
        <f t="shared" si="75"/>
        <v>6300</v>
      </c>
      <c r="G267" s="198">
        <f t="shared" si="75"/>
        <v>20600</v>
      </c>
      <c r="H267" s="198" t="str">
        <f t="shared" si="75"/>
        <v>TOTAL 87</v>
      </c>
      <c r="I267" s="198">
        <f t="shared" si="75"/>
        <v>0</v>
      </c>
      <c r="J267" s="198">
        <f t="shared" si="75"/>
        <v>0</v>
      </c>
      <c r="K267" s="198">
        <f t="shared" si="75"/>
        <v>0</v>
      </c>
      <c r="L267" s="198">
        <f t="shared" si="75"/>
        <v>0</v>
      </c>
      <c r="M267" s="198">
        <f t="shared" si="75"/>
        <v>0</v>
      </c>
    </row>
    <row r="268" spans="1:13" ht="14.25" hidden="1">
      <c r="A268" s="119" t="s">
        <v>7</v>
      </c>
      <c r="B268" s="124"/>
      <c r="C268" s="125"/>
      <c r="D268" s="198"/>
      <c r="E268" s="198"/>
      <c r="F268" s="198"/>
      <c r="G268" s="198"/>
      <c r="H268" s="198"/>
      <c r="I268" s="198"/>
      <c r="J268" s="198">
        <f>J265</f>
        <v>0</v>
      </c>
      <c r="K268" s="198">
        <f>K265</f>
        <v>0</v>
      </c>
      <c r="L268" s="198">
        <f>L265</f>
        <v>0</v>
      </c>
      <c r="M268" s="198"/>
    </row>
    <row r="269" ht="13.5" thickBot="1"/>
    <row r="270" spans="1:14" ht="34.5" thickBot="1">
      <c r="A270" s="401" t="s">
        <v>172</v>
      </c>
      <c r="B270" s="402"/>
      <c r="C270" s="360" t="s">
        <v>162</v>
      </c>
      <c r="D270" s="360" t="s">
        <v>163</v>
      </c>
      <c r="E270" s="361"/>
      <c r="F270" s="361"/>
      <c r="G270" s="361"/>
      <c r="H270" s="361"/>
      <c r="I270" s="361"/>
      <c r="J270" s="360" t="s">
        <v>164</v>
      </c>
      <c r="K270" s="360" t="s">
        <v>165</v>
      </c>
      <c r="L270" s="360" t="s">
        <v>166</v>
      </c>
      <c r="M270" s="362" t="s">
        <v>167</v>
      </c>
      <c r="N270" s="363" t="s">
        <v>253</v>
      </c>
    </row>
    <row r="271" spans="1:16" ht="19.5" customHeight="1">
      <c r="A271" s="403" t="s">
        <v>156</v>
      </c>
      <c r="B271" s="404"/>
      <c r="C271" s="199">
        <f>C11+C26+C46+C65+C87+C105+C152</f>
        <v>60361000</v>
      </c>
      <c r="D271" s="199">
        <f aca="true" t="shared" si="76" ref="D271:M271">D152+D105+D87+D65+D46+D26+D11</f>
        <v>33307261</v>
      </c>
      <c r="E271" s="199">
        <f t="shared" si="76"/>
        <v>800000</v>
      </c>
      <c r="F271" s="199">
        <f t="shared" si="76"/>
        <v>800000</v>
      </c>
      <c r="G271" s="199">
        <f t="shared" si="76"/>
        <v>800000</v>
      </c>
      <c r="H271" s="199">
        <f t="shared" si="76"/>
        <v>800000</v>
      </c>
      <c r="I271" s="199">
        <f t="shared" si="76"/>
        <v>800000</v>
      </c>
      <c r="J271" s="199">
        <f t="shared" si="76"/>
        <v>45643593</v>
      </c>
      <c r="K271" s="199">
        <f t="shared" si="76"/>
        <v>45643593</v>
      </c>
      <c r="L271" s="199">
        <f t="shared" si="76"/>
        <v>28829763</v>
      </c>
      <c r="M271" s="200">
        <f t="shared" si="76"/>
        <v>16813830</v>
      </c>
      <c r="N271" s="364">
        <f>L271/C271</f>
        <v>0.47762235549444176</v>
      </c>
      <c r="P271" s="186"/>
    </row>
    <row r="272" spans="1:16" ht="19.5" customHeight="1">
      <c r="A272" s="397" t="s">
        <v>157</v>
      </c>
      <c r="B272" s="398"/>
      <c r="C272" s="202">
        <f>C239+C224+C209+C189+C188+C156+C110+C88+C66+C47+C43+C27+C12</f>
        <v>83663868</v>
      </c>
      <c r="D272" s="202">
        <f aca="true" t="shared" si="77" ref="D272:M272">D239+D224+D209+D187+D156+D110+D88+D66+D47+D43+D27+D12</f>
        <v>50777977</v>
      </c>
      <c r="E272" s="202">
        <f t="shared" si="77"/>
        <v>4942700</v>
      </c>
      <c r="F272" s="202">
        <f t="shared" si="77"/>
        <v>4922700</v>
      </c>
      <c r="G272" s="202">
        <f t="shared" si="77"/>
        <v>3493800</v>
      </c>
      <c r="H272" s="202" t="e">
        <f t="shared" si="77"/>
        <v>#VALUE!</v>
      </c>
      <c r="I272" s="202">
        <f t="shared" si="77"/>
        <v>3309000</v>
      </c>
      <c r="J272" s="202">
        <f t="shared" si="77"/>
        <v>61783320</v>
      </c>
      <c r="K272" s="202">
        <f t="shared" si="77"/>
        <v>61783320</v>
      </c>
      <c r="L272" s="202">
        <f t="shared" si="77"/>
        <v>33696595</v>
      </c>
      <c r="M272" s="203">
        <f t="shared" si="77"/>
        <v>28086725</v>
      </c>
      <c r="N272" s="364">
        <f aca="true" t="shared" si="78" ref="N272:N281">L272/C272</f>
        <v>0.4027616198667745</v>
      </c>
      <c r="P272" s="186"/>
    </row>
    <row r="273" spans="1:16" ht="19.5" customHeight="1">
      <c r="A273" s="397" t="s">
        <v>0</v>
      </c>
      <c r="B273" s="398"/>
      <c r="C273" s="202">
        <f>C42</f>
        <v>3238000</v>
      </c>
      <c r="D273" s="202">
        <f aca="true" t="shared" si="79" ref="D273:M273">D42</f>
        <v>2838000</v>
      </c>
      <c r="E273" s="202">
        <f t="shared" si="79"/>
        <v>2730000</v>
      </c>
      <c r="F273" s="202">
        <f t="shared" si="79"/>
        <v>620000</v>
      </c>
      <c r="G273" s="202">
        <f t="shared" si="79"/>
        <v>1310000</v>
      </c>
      <c r="H273" s="202" t="str">
        <f t="shared" si="79"/>
        <v>TOTAL 55</v>
      </c>
      <c r="I273" s="202">
        <f t="shared" si="79"/>
        <v>0</v>
      </c>
      <c r="J273" s="202">
        <f t="shared" si="79"/>
        <v>3238000</v>
      </c>
      <c r="K273" s="202">
        <f t="shared" si="79"/>
        <v>3238000</v>
      </c>
      <c r="L273" s="202">
        <f t="shared" si="79"/>
        <v>1351806</v>
      </c>
      <c r="M273" s="203">
        <f t="shared" si="79"/>
        <v>1886194</v>
      </c>
      <c r="N273" s="364">
        <f t="shared" si="78"/>
        <v>0.4174817788758493</v>
      </c>
      <c r="P273" s="186"/>
    </row>
    <row r="274" spans="1:16" ht="19.5" customHeight="1">
      <c r="A274" s="397" t="s">
        <v>1</v>
      </c>
      <c r="B274" s="398"/>
      <c r="C274" s="202">
        <f>C241</f>
        <v>14283297</v>
      </c>
      <c r="D274" s="202">
        <f aca="true" t="shared" si="80" ref="D274:M274">D241</f>
        <v>7500000</v>
      </c>
      <c r="E274" s="202">
        <f t="shared" si="80"/>
        <v>0</v>
      </c>
      <c r="F274" s="202">
        <f t="shared" si="80"/>
        <v>0</v>
      </c>
      <c r="G274" s="202">
        <f t="shared" si="80"/>
        <v>0</v>
      </c>
      <c r="H274" s="202">
        <f t="shared" si="80"/>
        <v>0</v>
      </c>
      <c r="I274" s="202">
        <f t="shared" si="80"/>
        <v>0</v>
      </c>
      <c r="J274" s="202">
        <f t="shared" si="80"/>
        <v>14283297</v>
      </c>
      <c r="K274" s="202">
        <f t="shared" si="80"/>
        <v>14283297</v>
      </c>
      <c r="L274" s="202">
        <f t="shared" si="80"/>
        <v>5532433</v>
      </c>
      <c r="M274" s="203">
        <f t="shared" si="80"/>
        <v>8750864</v>
      </c>
      <c r="N274" s="364">
        <f t="shared" si="78"/>
        <v>0.3873358510993645</v>
      </c>
      <c r="P274" s="186"/>
    </row>
    <row r="275" spans="1:16" ht="19.5" customHeight="1">
      <c r="A275" s="405" t="s">
        <v>231</v>
      </c>
      <c r="B275" s="406"/>
      <c r="C275" s="202">
        <f>C28</f>
        <v>10000</v>
      </c>
      <c r="D275" s="202">
        <f aca="true" t="shared" si="81" ref="D275:M275">D28</f>
        <v>10000</v>
      </c>
      <c r="E275" s="202">
        <f t="shared" si="81"/>
        <v>0</v>
      </c>
      <c r="F275" s="202">
        <f t="shared" si="81"/>
        <v>0</v>
      </c>
      <c r="G275" s="202">
        <f t="shared" si="81"/>
        <v>0</v>
      </c>
      <c r="H275" s="202">
        <f t="shared" si="81"/>
        <v>0</v>
      </c>
      <c r="I275" s="202">
        <f t="shared" si="81"/>
        <v>0</v>
      </c>
      <c r="J275" s="202">
        <f t="shared" si="81"/>
        <v>0</v>
      </c>
      <c r="K275" s="202">
        <f t="shared" si="81"/>
        <v>0</v>
      </c>
      <c r="L275" s="202">
        <f t="shared" si="81"/>
        <v>0</v>
      </c>
      <c r="M275" s="203">
        <f t="shared" si="81"/>
        <v>0</v>
      </c>
      <c r="N275" s="364"/>
      <c r="P275" s="186"/>
    </row>
    <row r="276" spans="1:16" ht="19.5" customHeight="1">
      <c r="A276" s="397" t="s">
        <v>155</v>
      </c>
      <c r="B276" s="398"/>
      <c r="C276" s="202">
        <f>C192+C162+C121+C16</f>
        <v>15787000</v>
      </c>
      <c r="D276" s="202">
        <f aca="true" t="shared" si="82" ref="D276:M276">D192+D162+D121+D16</f>
        <v>10947450</v>
      </c>
      <c r="E276" s="202">
        <f t="shared" si="82"/>
        <v>0</v>
      </c>
      <c r="F276" s="202">
        <f t="shared" si="82"/>
        <v>0</v>
      </c>
      <c r="G276" s="202">
        <f t="shared" si="82"/>
        <v>0</v>
      </c>
      <c r="H276" s="202">
        <f t="shared" si="82"/>
        <v>0</v>
      </c>
      <c r="I276" s="202">
        <f t="shared" si="82"/>
        <v>0</v>
      </c>
      <c r="J276" s="202">
        <f t="shared" si="82"/>
        <v>15787000</v>
      </c>
      <c r="K276" s="202">
        <f t="shared" si="82"/>
        <v>15787000</v>
      </c>
      <c r="L276" s="202">
        <f t="shared" si="82"/>
        <v>7923250</v>
      </c>
      <c r="M276" s="203">
        <f t="shared" si="82"/>
        <v>7863750</v>
      </c>
      <c r="N276" s="364">
        <f t="shared" si="78"/>
        <v>0.5018844618990308</v>
      </c>
      <c r="P276" s="186"/>
    </row>
    <row r="277" spans="1:16" ht="19.5" customHeight="1">
      <c r="A277" s="397" t="s">
        <v>2</v>
      </c>
      <c r="B277" s="398"/>
      <c r="C277" s="202">
        <f>C70</f>
        <v>189000</v>
      </c>
      <c r="D277" s="202">
        <f aca="true" t="shared" si="83" ref="D277:M277">D70</f>
        <v>107000</v>
      </c>
      <c r="E277" s="202">
        <f t="shared" si="83"/>
        <v>0</v>
      </c>
      <c r="F277" s="202">
        <f t="shared" si="83"/>
        <v>0</v>
      </c>
      <c r="G277" s="202">
        <f t="shared" si="83"/>
        <v>0</v>
      </c>
      <c r="H277" s="202">
        <f t="shared" si="83"/>
        <v>0</v>
      </c>
      <c r="I277" s="202">
        <f t="shared" si="83"/>
        <v>0</v>
      </c>
      <c r="J277" s="202">
        <f t="shared" si="83"/>
        <v>107000</v>
      </c>
      <c r="K277" s="202">
        <f t="shared" si="83"/>
        <v>107000</v>
      </c>
      <c r="L277" s="202">
        <f t="shared" si="83"/>
        <v>107000</v>
      </c>
      <c r="M277" s="203">
        <f t="shared" si="83"/>
        <v>0</v>
      </c>
      <c r="N277" s="364">
        <f t="shared" si="78"/>
        <v>0.5661375661375662</v>
      </c>
      <c r="P277" s="186"/>
    </row>
    <row r="278" spans="1:16" ht="19.5" customHeight="1">
      <c r="A278" s="397" t="s">
        <v>3</v>
      </c>
      <c r="B278" s="398"/>
      <c r="C278" s="202">
        <f>C165+C71</f>
        <v>21532500</v>
      </c>
      <c r="D278" s="202">
        <f aca="true" t="shared" si="84" ref="D278:M278">D165+D71</f>
        <v>10671904</v>
      </c>
      <c r="E278" s="202">
        <f t="shared" si="84"/>
        <v>0</v>
      </c>
      <c r="F278" s="202">
        <f t="shared" si="84"/>
        <v>0</v>
      </c>
      <c r="G278" s="202">
        <f t="shared" si="84"/>
        <v>0</v>
      </c>
      <c r="H278" s="202">
        <f t="shared" si="84"/>
        <v>0</v>
      </c>
      <c r="I278" s="202">
        <f t="shared" si="84"/>
        <v>0</v>
      </c>
      <c r="J278" s="202">
        <f t="shared" si="84"/>
        <v>9648206</v>
      </c>
      <c r="K278" s="202">
        <f t="shared" si="84"/>
        <v>9648206</v>
      </c>
      <c r="L278" s="202">
        <f t="shared" si="84"/>
        <v>9619819</v>
      </c>
      <c r="M278" s="203">
        <f t="shared" si="84"/>
        <v>28387</v>
      </c>
      <c r="N278" s="364">
        <f t="shared" si="78"/>
        <v>0.4467581098339719</v>
      </c>
      <c r="P278" s="186"/>
    </row>
    <row r="279" spans="1:16" ht="19.5" customHeight="1">
      <c r="A279" s="397" t="s">
        <v>4</v>
      </c>
      <c r="B279" s="398"/>
      <c r="C279" s="202">
        <f>C170+C129+C96+C72+C33+C18</f>
        <v>4349000</v>
      </c>
      <c r="D279" s="202">
        <f aca="true" t="shared" si="85" ref="D279:M279">D170+D129+D72+D33+D18+D96</f>
        <v>2572028</v>
      </c>
      <c r="E279" s="202">
        <f t="shared" si="85"/>
        <v>300000</v>
      </c>
      <c r="F279" s="202">
        <f t="shared" si="85"/>
        <v>300000</v>
      </c>
      <c r="G279" s="202">
        <f t="shared" si="85"/>
        <v>300000</v>
      </c>
      <c r="H279" s="202">
        <f t="shared" si="85"/>
        <v>300000</v>
      </c>
      <c r="I279" s="202">
        <f t="shared" si="85"/>
        <v>300000</v>
      </c>
      <c r="J279" s="202">
        <f t="shared" si="85"/>
        <v>1654011</v>
      </c>
      <c r="K279" s="202">
        <f t="shared" si="85"/>
        <v>1654011</v>
      </c>
      <c r="L279" s="202">
        <f t="shared" si="85"/>
        <v>1417419</v>
      </c>
      <c r="M279" s="203">
        <f t="shared" si="85"/>
        <v>236592</v>
      </c>
      <c r="N279" s="364">
        <f t="shared" si="78"/>
        <v>0.3259183720395493</v>
      </c>
      <c r="P279" s="186"/>
    </row>
    <row r="280" spans="1:16" ht="19.5" customHeight="1">
      <c r="A280" s="397" t="s">
        <v>5</v>
      </c>
      <c r="B280" s="398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3"/>
      <c r="N280" s="364"/>
      <c r="P280" s="186"/>
    </row>
    <row r="281" spans="1:19" ht="19.5" customHeight="1">
      <c r="A281" s="397" t="s">
        <v>6</v>
      </c>
      <c r="B281" s="398"/>
      <c r="C281" s="202">
        <f>C247+C199</f>
        <v>12700000</v>
      </c>
      <c r="D281" s="202">
        <f aca="true" t="shared" si="86" ref="D281:M281">D247+D199</f>
        <v>8112200</v>
      </c>
      <c r="E281" s="202">
        <f t="shared" si="86"/>
        <v>0</v>
      </c>
      <c r="F281" s="202">
        <f t="shared" si="86"/>
        <v>0</v>
      </c>
      <c r="G281" s="202">
        <f t="shared" si="86"/>
        <v>0</v>
      </c>
      <c r="H281" s="202">
        <f t="shared" si="86"/>
        <v>0</v>
      </c>
      <c r="I281" s="202">
        <f t="shared" si="86"/>
        <v>0</v>
      </c>
      <c r="J281" s="202">
        <f t="shared" si="86"/>
        <v>12700000</v>
      </c>
      <c r="K281" s="202">
        <f t="shared" si="86"/>
        <v>12700000</v>
      </c>
      <c r="L281" s="202">
        <f t="shared" si="86"/>
        <v>5712987</v>
      </c>
      <c r="M281" s="203">
        <f t="shared" si="86"/>
        <v>6987013</v>
      </c>
      <c r="N281" s="364">
        <f t="shared" si="78"/>
        <v>0.4498414960629921</v>
      </c>
      <c r="P281" s="186"/>
      <c r="Q281" s="186"/>
      <c r="R281" s="186"/>
      <c r="S281" s="186"/>
    </row>
    <row r="282" spans="1:14" ht="19.5" customHeight="1" thickBot="1">
      <c r="A282" s="393" t="s">
        <v>7</v>
      </c>
      <c r="B282" s="394"/>
      <c r="C282" s="365">
        <f>C265+C248+C233+C218+C200+C177+C134+C99+C75+C58+C36+C21</f>
        <v>0</v>
      </c>
      <c r="D282" s="365">
        <f aca="true" t="shared" si="87" ref="D282:M282">D265+D248+D233+D218+D200+D177+D134+D99+D75+D58+D36+D21</f>
        <v>0</v>
      </c>
      <c r="E282" s="365">
        <f t="shared" si="87"/>
        <v>0</v>
      </c>
      <c r="F282" s="365">
        <f t="shared" si="87"/>
        <v>0</v>
      </c>
      <c r="G282" s="365">
        <f t="shared" si="87"/>
        <v>0</v>
      </c>
      <c r="H282" s="365">
        <f t="shared" si="87"/>
        <v>0</v>
      </c>
      <c r="I282" s="365">
        <f t="shared" si="87"/>
        <v>0</v>
      </c>
      <c r="J282" s="365">
        <f>J248+J218+J200+J177+J134+J75+J58+J21</f>
        <v>-228081</v>
      </c>
      <c r="K282" s="365">
        <f>K248+K218+K200+K177+K134+K75+K58+K21</f>
        <v>-228081</v>
      </c>
      <c r="L282" s="365">
        <f>L248+L218+L200+L177+L134+L75+L58+L21</f>
        <v>-228081</v>
      </c>
      <c r="M282" s="366">
        <f t="shared" si="87"/>
        <v>0</v>
      </c>
      <c r="N282" s="367"/>
    </row>
    <row r="283" ht="13.5" thickBot="1">
      <c r="N283" s="242"/>
    </row>
    <row r="284" spans="1:14" ht="30" customHeight="1" thickBot="1">
      <c r="A284" s="395" t="s">
        <v>154</v>
      </c>
      <c r="B284" s="396"/>
      <c r="C284" s="338">
        <f>C271+C272+C273+C274+C276+C277+C278+C279+C280+C281+C282+C275</f>
        <v>216113665</v>
      </c>
      <c r="D284" s="338">
        <f aca="true" t="shared" si="88" ref="D284:M284">D271+D272+D273+D274+D276+D277+D278+D279+D280+D281+D282+D275</f>
        <v>126843820</v>
      </c>
      <c r="E284" s="338">
        <f t="shared" si="88"/>
        <v>196507000</v>
      </c>
      <c r="F284" s="338">
        <f t="shared" si="88"/>
        <v>196507000</v>
      </c>
      <c r="G284" s="338">
        <f t="shared" si="88"/>
        <v>196507000</v>
      </c>
      <c r="H284" s="338">
        <f t="shared" si="88"/>
        <v>196507000</v>
      </c>
      <c r="I284" s="338">
        <f t="shared" si="88"/>
        <v>196507000</v>
      </c>
      <c r="J284" s="338">
        <f t="shared" si="88"/>
        <v>164616346</v>
      </c>
      <c r="K284" s="338">
        <f t="shared" si="88"/>
        <v>164616346</v>
      </c>
      <c r="L284" s="338">
        <f t="shared" si="88"/>
        <v>93962991</v>
      </c>
      <c r="M284" s="338">
        <f t="shared" si="88"/>
        <v>70653355</v>
      </c>
      <c r="N284" s="339">
        <f>L284/C284</f>
        <v>0.4347850516532585</v>
      </c>
    </row>
    <row r="286" ht="12.75">
      <c r="A286" s="204" t="s">
        <v>175</v>
      </c>
    </row>
    <row r="287" spans="1:11" ht="12.75">
      <c r="A287" s="205" t="s">
        <v>200</v>
      </c>
      <c r="C287" s="206" t="s">
        <v>176</v>
      </c>
      <c r="D287" s="206"/>
      <c r="E287" s="206"/>
      <c r="F287" s="206"/>
      <c r="G287" s="206"/>
      <c r="H287" s="206"/>
      <c r="I287" s="206"/>
      <c r="J287" s="206"/>
      <c r="K287" s="206" t="s">
        <v>242</v>
      </c>
    </row>
    <row r="288" spans="1:16" ht="12.75">
      <c r="A288" s="207" t="s">
        <v>239</v>
      </c>
      <c r="C288" s="108" t="s">
        <v>177</v>
      </c>
      <c r="K288" s="108" t="s">
        <v>238</v>
      </c>
      <c r="P288" s="186"/>
    </row>
    <row r="291" spans="2:13" ht="12.75" hidden="1">
      <c r="B291" s="391" t="s">
        <v>219</v>
      </c>
      <c r="C291" s="208">
        <f>C251+C250+C235+C220+C205+C204+C203+C183+C182+C181+C180+C179+C147+C145+C144+C140+C138+C101+C83+C82+C81+C80+C79+C78+C77+C61+C60+C43+C42+C39+C23</f>
        <v>215492290</v>
      </c>
      <c r="D291" s="208">
        <f aca="true" t="shared" si="89" ref="D291:I291">D251+D250+D235+D220+D205+D204+D203+D183+D182+D181+D180+D179+D147+D145+D144+D140+D138+D101+D83+D82+D81+D80+D79+D78+D77+D61+D60+D43+D42+D39+D23</f>
        <v>126231945</v>
      </c>
      <c r="E291" s="208">
        <f t="shared" si="89"/>
        <v>8770700</v>
      </c>
      <c r="F291" s="208">
        <f t="shared" si="89"/>
        <v>6640700</v>
      </c>
      <c r="G291" s="208">
        <f t="shared" si="89"/>
        <v>5903800</v>
      </c>
      <c r="H291" s="208" t="e">
        <f t="shared" si="89"/>
        <v>#VALUE!</v>
      </c>
      <c r="I291" s="208">
        <f t="shared" si="89"/>
        <v>3609000</v>
      </c>
      <c r="J291" s="208">
        <f>J253+J251+J250+J236+J235+J220+J206+J184+J205+J204+J203+J183+J182+J181+J180+J179+J150+J147+J145+J144+J140+J138+J101+J83+J82+J81+J80+J79+J78+J77+J63+J61+J60+J42+J39+J24+J23</f>
        <v>163946671</v>
      </c>
      <c r="K291" s="208">
        <f>K253+K251+K250+K236+K235+K220+K206+K184+K205+K204+K203+K183+K182+K181+K180+K179+K150+K147+K145+K144+K140+K138+K101+K83+K82+K81+K80+K79+K78+K77+K63+K61+K60+K42+K39+K24+K23</f>
        <v>163946671</v>
      </c>
      <c r="L291" s="208">
        <f>L253+L251+L250+L236+L235+L220+L206+L184+L205+L204+L203+L183+L182+L181+L180+L179+L150+L147+L145+L144+L140+L138+L101+L83+L82+L81+L80+L79+L78+L77+L63+L61+L60+L42+L39+L24+L23</f>
        <v>93364316</v>
      </c>
      <c r="M291" s="208">
        <f>M253+M251+M250+M236+M235+M220+M206+M184+M205+M204+M203+M183+M182+M181+M180+M179+M150+M147+M145+M144+M140+M138+M101+M83+M82+M81+M80+M79+M78+M77+M63+M61+M60+M42+M39+M24+M23</f>
        <v>70582355</v>
      </c>
    </row>
    <row r="292" ht="12.75" hidden="1">
      <c r="B292" s="392"/>
    </row>
    <row r="293" spans="2:15" ht="12.75" hidden="1">
      <c r="B293" s="108" t="s">
        <v>228</v>
      </c>
      <c r="C293" s="186">
        <f>C284-C291</f>
        <v>621375</v>
      </c>
      <c r="D293" s="186">
        <f aca="true" t="shared" si="90" ref="D293:M293">D284-D291</f>
        <v>611875</v>
      </c>
      <c r="E293" s="186">
        <f t="shared" si="90"/>
        <v>0</v>
      </c>
      <c r="F293" s="186">
        <f t="shared" si="90"/>
        <v>0</v>
      </c>
      <c r="G293" s="186">
        <f t="shared" si="90"/>
        <v>0</v>
      </c>
      <c r="H293" s="186">
        <f t="shared" si="90"/>
        <v>0</v>
      </c>
      <c r="I293" s="186">
        <f t="shared" si="90"/>
        <v>0</v>
      </c>
      <c r="J293" s="186">
        <f t="shared" si="90"/>
        <v>669675</v>
      </c>
      <c r="K293" s="186">
        <f t="shared" si="90"/>
        <v>669675</v>
      </c>
      <c r="L293" s="186">
        <f t="shared" si="90"/>
        <v>598675</v>
      </c>
      <c r="M293" s="186">
        <f t="shared" si="90"/>
        <v>71000</v>
      </c>
      <c r="O293" s="186"/>
    </row>
    <row r="295" spans="1:10" ht="12.75">
      <c r="A295" s="23" t="s">
        <v>268</v>
      </c>
      <c r="J295" s="23" t="s">
        <v>270</v>
      </c>
    </row>
    <row r="296" spans="1:9" ht="12.75" hidden="1">
      <c r="A296" s="23" t="s">
        <v>269</v>
      </c>
      <c r="E296" s="411" t="s">
        <v>120</v>
      </c>
      <c r="F296" s="412"/>
      <c r="G296" s="413"/>
      <c r="H296" s="417">
        <f>I267+I252+I235+I220++I205+I183+I149+I101+I80+I62+I43+I39+I23</f>
        <v>60567297</v>
      </c>
      <c r="I296" s="418"/>
    </row>
    <row r="297" spans="5:9" ht="13.5" hidden="1" thickBot="1">
      <c r="E297" s="414"/>
      <c r="F297" s="415"/>
      <c r="G297" s="416"/>
      <c r="H297" s="419"/>
      <c r="I297" s="420"/>
    </row>
    <row r="298" ht="12.75" hidden="1"/>
    <row r="299" spans="1:2" ht="16.5" hidden="1" thickBot="1">
      <c r="A299" s="201" t="s">
        <v>154</v>
      </c>
      <c r="B299" s="209">
        <f>I267+I252+I235+I220+I205+I183+I149+I101+I80+I62+I43+I39+I23</f>
        <v>60567297</v>
      </c>
    </row>
    <row r="300" spans="1:6" ht="18" hidden="1">
      <c r="A300" s="210" t="s">
        <v>146</v>
      </c>
      <c r="B300" s="211" t="s">
        <v>147</v>
      </c>
      <c r="C300" s="211" t="s">
        <v>148</v>
      </c>
      <c r="D300" s="211" t="s">
        <v>149</v>
      </c>
      <c r="E300" s="211" t="s">
        <v>150</v>
      </c>
      <c r="F300" s="212" t="s">
        <v>151</v>
      </c>
    </row>
    <row r="301" spans="1:6" ht="15.75" hidden="1">
      <c r="A301" s="213" t="s">
        <v>156</v>
      </c>
      <c r="B301" s="209">
        <f>C301+D301+E301+F301</f>
        <v>35433000</v>
      </c>
      <c r="C301" s="214">
        <f>D152+D87+D65+D46+D26+D11</f>
        <v>33033000</v>
      </c>
      <c r="D301" s="214">
        <f>E152+E87+E65+E46+E26+E11</f>
        <v>800000</v>
      </c>
      <c r="E301" s="214">
        <f>F152+F87+F65+F46+F26+F11</f>
        <v>800000</v>
      </c>
      <c r="F301" s="215">
        <f>G152+G87+G65+G46+G26+G11</f>
        <v>800000</v>
      </c>
    </row>
    <row r="302" spans="1:6" ht="15.75" hidden="1">
      <c r="A302" s="213" t="s">
        <v>169</v>
      </c>
      <c r="B302" s="209">
        <f aca="true" t="shared" si="91" ref="B302:B311">C302+D302+E302+F302</f>
        <v>64137177</v>
      </c>
      <c r="C302" s="214">
        <f>D239+D224+D209+D187+D156+D110+D88+D66+D47+D43+D27+D12</f>
        <v>50777977</v>
      </c>
      <c r="D302" s="214">
        <f>E239+E224+E209+E187+E156+E110+E88+E66+E47+E43+E27+E12</f>
        <v>4942700</v>
      </c>
      <c r="E302" s="214">
        <f>F239+F224+F209+F187+F156+F110+F88+F66+F47+F43+F27+F12</f>
        <v>4922700</v>
      </c>
      <c r="F302" s="215">
        <f>G239+G224+G209+G187+G156+G110+G88+G66+G47+G43+G27+G12</f>
        <v>3493800</v>
      </c>
    </row>
    <row r="303" spans="1:6" ht="15.75" hidden="1">
      <c r="A303" s="213" t="s">
        <v>0</v>
      </c>
      <c r="B303" s="209">
        <f t="shared" si="91"/>
        <v>7498000</v>
      </c>
      <c r="C303" s="214">
        <f>D42</f>
        <v>2838000</v>
      </c>
      <c r="D303" s="214">
        <f>E42</f>
        <v>2730000</v>
      </c>
      <c r="E303" s="214">
        <f>F42</f>
        <v>620000</v>
      </c>
      <c r="F303" s="215">
        <f>G42</f>
        <v>1310000</v>
      </c>
    </row>
    <row r="304" spans="1:6" ht="15.75" hidden="1">
      <c r="A304" s="213" t="s">
        <v>1</v>
      </c>
      <c r="B304" s="209">
        <f t="shared" si="91"/>
        <v>7500000</v>
      </c>
      <c r="C304" s="214">
        <f>D241</f>
        <v>7500000</v>
      </c>
      <c r="D304" s="214">
        <f>E241</f>
        <v>0</v>
      </c>
      <c r="E304" s="214">
        <f>F241</f>
        <v>0</v>
      </c>
      <c r="F304" s="215">
        <f>G241</f>
        <v>0</v>
      </c>
    </row>
    <row r="305" spans="1:6" ht="15.75" hidden="1">
      <c r="A305" s="213" t="s">
        <v>155</v>
      </c>
      <c r="B305" s="209">
        <f t="shared" si="91"/>
        <v>10947450</v>
      </c>
      <c r="C305" s="214">
        <f>D192+D162+D121</f>
        <v>10947450</v>
      </c>
      <c r="D305" s="214">
        <f>E192+E162+E121</f>
        <v>0</v>
      </c>
      <c r="E305" s="214">
        <f>F192+F162+F121</f>
        <v>0</v>
      </c>
      <c r="F305" s="215">
        <f>G192+G162+G121</f>
        <v>0</v>
      </c>
    </row>
    <row r="306" spans="1:6" ht="15.75" hidden="1">
      <c r="A306" s="213" t="s">
        <v>2</v>
      </c>
      <c r="B306" s="209">
        <f t="shared" si="91"/>
        <v>0</v>
      </c>
      <c r="C306" s="216"/>
      <c r="D306" s="216"/>
      <c r="E306" s="216"/>
      <c r="F306" s="217"/>
    </row>
    <row r="307" spans="1:6" ht="15.75" hidden="1">
      <c r="A307" s="213" t="s">
        <v>3</v>
      </c>
      <c r="B307" s="209">
        <f t="shared" si="91"/>
        <v>10671904</v>
      </c>
      <c r="C307" s="214">
        <f>D165+D71</f>
        <v>10671904</v>
      </c>
      <c r="D307" s="214">
        <f>E165+E71</f>
        <v>0</v>
      </c>
      <c r="E307" s="214">
        <f>F165+F71</f>
        <v>0</v>
      </c>
      <c r="F307" s="215">
        <f>G165+G71</f>
        <v>0</v>
      </c>
    </row>
    <row r="308" spans="1:6" ht="15.75" hidden="1">
      <c r="A308" s="213" t="s">
        <v>4</v>
      </c>
      <c r="B308" s="209">
        <f t="shared" si="91"/>
        <v>3369728</v>
      </c>
      <c r="C308" s="214">
        <f>D262+D197+D170+D129+D72</f>
        <v>2436528</v>
      </c>
      <c r="D308" s="214">
        <f>E262+E197+E170+E129+E72</f>
        <v>306300</v>
      </c>
      <c r="E308" s="214">
        <f>F262+F197+F170+F129+F72</f>
        <v>306300</v>
      </c>
      <c r="F308" s="215">
        <f>G262+G197+G170+G129+G72</f>
        <v>320600</v>
      </c>
    </row>
    <row r="309" spans="1:6" ht="15.75" hidden="1">
      <c r="A309" s="213" t="s">
        <v>5</v>
      </c>
      <c r="B309" s="209">
        <f t="shared" si="91"/>
        <v>0</v>
      </c>
      <c r="C309" s="216"/>
      <c r="D309" s="216"/>
      <c r="E309" s="216"/>
      <c r="F309" s="217"/>
    </row>
    <row r="310" spans="1:6" ht="15.75" hidden="1">
      <c r="A310" s="213" t="s">
        <v>6</v>
      </c>
      <c r="B310" s="209">
        <f t="shared" si="91"/>
        <v>8112200</v>
      </c>
      <c r="C310" s="214">
        <f>D247+D199</f>
        <v>8112200</v>
      </c>
      <c r="D310" s="214">
        <f>E247+E199</f>
        <v>0</v>
      </c>
      <c r="E310" s="214">
        <f>F247+F199</f>
        <v>0</v>
      </c>
      <c r="F310" s="215">
        <f>G247+G199</f>
        <v>0</v>
      </c>
    </row>
    <row r="311" spans="1:6" ht="15.75" hidden="1">
      <c r="A311" s="213" t="s">
        <v>7</v>
      </c>
      <c r="B311" s="209">
        <f t="shared" si="91"/>
        <v>0</v>
      </c>
      <c r="C311" s="216"/>
      <c r="D311" s="216"/>
      <c r="E311" s="216"/>
      <c r="F311" s="217"/>
    </row>
    <row r="312" spans="1:6" ht="16.5" hidden="1" thickBot="1">
      <c r="A312" s="218" t="s">
        <v>152</v>
      </c>
      <c r="B312" s="219">
        <f>B301+B302+B303+B304+B305+B306+B307+B308+B309+B310+B311</f>
        <v>147669459</v>
      </c>
      <c r="C312" s="219">
        <f>C301+C302+C303+C304+C305+C306+C307+C308+C309+C310+C311</f>
        <v>126317059</v>
      </c>
      <c r="D312" s="219">
        <f>D301+D302+D303+D304+D305+D306+D307+D308+D309+D310+D311</f>
        <v>8779000</v>
      </c>
      <c r="E312" s="219">
        <f>E301+E302+E303+E304+E305+E306+E307+E308+E309+E310+E311</f>
        <v>6649000</v>
      </c>
      <c r="F312" s="220">
        <f>F301+F302+F303+F304+F305+F306+F307+F308+F309+F310+F311</f>
        <v>5924400</v>
      </c>
    </row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spans="1:10" ht="12.75">
      <c r="A321" s="23" t="s">
        <v>269</v>
      </c>
      <c r="J321" s="477" t="s">
        <v>271</v>
      </c>
    </row>
  </sheetData>
  <sheetProtection/>
  <mergeCells count="37">
    <mergeCell ref="B11:B18"/>
    <mergeCell ref="K1:M2"/>
    <mergeCell ref="H147:I147"/>
    <mergeCell ref="H90:I90"/>
    <mergeCell ref="H224:I224"/>
    <mergeCell ref="H209:I209"/>
    <mergeCell ref="H203:I203"/>
    <mergeCell ref="H181:I181"/>
    <mergeCell ref="L7:M7"/>
    <mergeCell ref="A3:M5"/>
    <mergeCell ref="A6:M6"/>
    <mergeCell ref="E296:G297"/>
    <mergeCell ref="H296:I297"/>
    <mergeCell ref="H78:I78"/>
    <mergeCell ref="H12:I12"/>
    <mergeCell ref="H27:I27"/>
    <mergeCell ref="H42:I42"/>
    <mergeCell ref="H60:I60"/>
    <mergeCell ref="H262:I262"/>
    <mergeCell ref="H250:I250"/>
    <mergeCell ref="A8:B8"/>
    <mergeCell ref="A274:B274"/>
    <mergeCell ref="A276:B276"/>
    <mergeCell ref="A277:B277"/>
    <mergeCell ref="A270:B270"/>
    <mergeCell ref="A271:B271"/>
    <mergeCell ref="A272:B272"/>
    <mergeCell ref="A273:B273"/>
    <mergeCell ref="A275:B275"/>
    <mergeCell ref="B26:B27"/>
    <mergeCell ref="B291:B292"/>
    <mergeCell ref="A282:B282"/>
    <mergeCell ref="A284:B284"/>
    <mergeCell ref="A278:B278"/>
    <mergeCell ref="A279:B279"/>
    <mergeCell ref="A280:B280"/>
    <mergeCell ref="A281:B281"/>
  </mergeCells>
  <printOptions/>
  <pageMargins left="0.56" right="0.17" top="0.49" bottom="1.32" header="0.61" footer="1.21"/>
  <pageSetup fitToHeight="5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8"/>
  <sheetViews>
    <sheetView workbookViewId="0" topLeftCell="A131">
      <selection activeCell="I167" sqref="I16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00390625" style="6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28125" style="0" customWidth="1"/>
  </cols>
  <sheetData>
    <row r="1" ht="15">
      <c r="A1" s="476" t="s">
        <v>201</v>
      </c>
    </row>
    <row r="2" spans="1:11" ht="15.75">
      <c r="A2" s="476" t="s">
        <v>202</v>
      </c>
      <c r="I2" s="479" t="s">
        <v>272</v>
      </c>
      <c r="J2" s="478"/>
      <c r="K2" s="478"/>
    </row>
    <row r="3" spans="1:12" ht="14.25">
      <c r="A3" s="37"/>
      <c r="I3" s="22"/>
      <c r="J3" s="22"/>
      <c r="K3" s="22"/>
      <c r="L3" s="22"/>
    </row>
    <row r="4" spans="1:12" ht="24.75" customHeight="1">
      <c r="A4" s="467" t="s">
        <v>180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</row>
    <row r="5" spans="1:12" ht="24.75" customHeight="1">
      <c r="A5" s="467" t="s">
        <v>263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</row>
    <row r="6" spans="1:12" ht="18.75" customHeight="1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7" t="s">
        <v>178</v>
      </c>
      <c r="L6" s="27" t="s">
        <v>178</v>
      </c>
    </row>
    <row r="7" spans="1:12" ht="34.5" customHeight="1">
      <c r="A7" s="473" t="s">
        <v>161</v>
      </c>
      <c r="B7" s="474"/>
      <c r="C7" s="55" t="s">
        <v>162</v>
      </c>
      <c r="D7" s="55" t="s">
        <v>163</v>
      </c>
      <c r="E7" s="56"/>
      <c r="F7" s="56"/>
      <c r="G7" s="56"/>
      <c r="H7" s="55" t="s">
        <v>164</v>
      </c>
      <c r="I7" s="55" t="s">
        <v>165</v>
      </c>
      <c r="J7" s="55" t="s">
        <v>166</v>
      </c>
      <c r="K7" s="57" t="s">
        <v>167</v>
      </c>
      <c r="L7" s="57" t="s">
        <v>254</v>
      </c>
    </row>
    <row r="8" spans="1:12" ht="12.75" customHeight="1" thickBot="1">
      <c r="A8" s="322"/>
      <c r="B8" s="323"/>
      <c r="C8" s="324">
        <v>1</v>
      </c>
      <c r="D8" s="324">
        <v>2</v>
      </c>
      <c r="E8" s="324"/>
      <c r="F8" s="324"/>
      <c r="G8" s="324"/>
      <c r="H8" s="324">
        <v>3</v>
      </c>
      <c r="I8" s="324">
        <v>4</v>
      </c>
      <c r="J8" s="324">
        <v>5</v>
      </c>
      <c r="K8" s="325" t="s">
        <v>170</v>
      </c>
      <c r="L8" s="326" t="s">
        <v>255</v>
      </c>
    </row>
    <row r="9" spans="1:12" ht="24.75" customHeight="1" thickBot="1">
      <c r="A9" s="48" t="s">
        <v>126</v>
      </c>
      <c r="B9" s="49" t="s">
        <v>168</v>
      </c>
      <c r="C9" s="50">
        <f>C10+C11+C12+C13+C14</f>
        <v>2598700</v>
      </c>
      <c r="D9" s="50">
        <f aca="true" t="shared" si="0" ref="D9:K9">D10+D11+D12+D13+D14</f>
        <v>1267800</v>
      </c>
      <c r="E9" s="50">
        <f t="shared" si="0"/>
        <v>700000</v>
      </c>
      <c r="F9" s="50">
        <f t="shared" si="0"/>
        <v>436322</v>
      </c>
      <c r="G9" s="50">
        <f t="shared" si="0"/>
        <v>160000</v>
      </c>
      <c r="H9" s="50">
        <f t="shared" si="0"/>
        <v>924835</v>
      </c>
      <c r="I9" s="50">
        <f t="shared" si="0"/>
        <v>924835</v>
      </c>
      <c r="J9" s="50">
        <f t="shared" si="0"/>
        <v>510745</v>
      </c>
      <c r="K9" s="51">
        <f t="shared" si="0"/>
        <v>414090</v>
      </c>
      <c r="L9" s="331">
        <f>J9/C9</f>
        <v>0.19653865394235578</v>
      </c>
    </row>
    <row r="10" spans="1:12" ht="12.75">
      <c r="A10" s="327" t="s">
        <v>183</v>
      </c>
      <c r="B10" s="42"/>
      <c r="C10" s="64">
        <f>D10+E10+F10+G10</f>
        <v>0</v>
      </c>
      <c r="D10" s="64"/>
      <c r="E10" s="64"/>
      <c r="F10" s="64"/>
      <c r="G10" s="328"/>
      <c r="H10" s="64"/>
      <c r="I10" s="64"/>
      <c r="J10" s="64"/>
      <c r="K10" s="329">
        <f>H10-J10</f>
        <v>0</v>
      </c>
      <c r="L10" s="330"/>
    </row>
    <row r="11" spans="1:12" ht="12.75">
      <c r="A11" s="1" t="s">
        <v>184</v>
      </c>
      <c r="B11" s="42"/>
      <c r="C11" s="9">
        <f>D11+E11+F11+G11</f>
        <v>0</v>
      </c>
      <c r="D11" s="9"/>
      <c r="E11" s="9"/>
      <c r="F11" s="9"/>
      <c r="G11" s="79"/>
      <c r="H11" s="9"/>
      <c r="I11" s="9"/>
      <c r="J11" s="9"/>
      <c r="K11" s="19">
        <f>H11-J11</f>
        <v>0</v>
      </c>
      <c r="L11" s="253"/>
    </row>
    <row r="12" spans="1:12" ht="12.75">
      <c r="A12" s="286" t="s">
        <v>262</v>
      </c>
      <c r="B12" s="287"/>
      <c r="C12" s="268">
        <v>2178700</v>
      </c>
      <c r="D12" s="268">
        <v>847800</v>
      </c>
      <c r="E12" s="268"/>
      <c r="F12" s="268"/>
      <c r="G12" s="269"/>
      <c r="H12" s="268">
        <f>806945</f>
        <v>806945</v>
      </c>
      <c r="I12" s="268">
        <v>806945</v>
      </c>
      <c r="J12" s="268">
        <v>494156</v>
      </c>
      <c r="K12" s="270">
        <f>H12-J12</f>
        <v>312789</v>
      </c>
      <c r="L12" s="280">
        <f>J12/C12</f>
        <v>0.22681231927296094</v>
      </c>
    </row>
    <row r="13" spans="1:12" ht="12.75">
      <c r="A13" s="46" t="s">
        <v>188</v>
      </c>
      <c r="B13" s="67" t="s">
        <v>10</v>
      </c>
      <c r="C13" s="47">
        <v>420000</v>
      </c>
      <c r="D13" s="47">
        <v>420000</v>
      </c>
      <c r="E13" s="47">
        <v>700000</v>
      </c>
      <c r="F13" s="47">
        <v>436322</v>
      </c>
      <c r="G13" s="80">
        <v>160000</v>
      </c>
      <c r="H13" s="47">
        <v>117890</v>
      </c>
      <c r="I13" s="47">
        <v>117890</v>
      </c>
      <c r="J13" s="47">
        <v>16589</v>
      </c>
      <c r="K13" s="61">
        <f>H13-J13</f>
        <v>101301</v>
      </c>
      <c r="L13" s="255">
        <f>J13/C13</f>
        <v>0.039497619047619045</v>
      </c>
    </row>
    <row r="14" spans="1:12" ht="13.5" thickBot="1">
      <c r="A14" s="3" t="s">
        <v>187</v>
      </c>
      <c r="B14" s="42"/>
      <c r="C14" s="63"/>
      <c r="D14" s="63"/>
      <c r="E14" s="63"/>
      <c r="F14" s="63"/>
      <c r="G14" s="91"/>
      <c r="H14" s="63"/>
      <c r="I14" s="63"/>
      <c r="J14" s="63"/>
      <c r="K14" s="92">
        <f>H14-J14</f>
        <v>0</v>
      </c>
      <c r="L14" s="256"/>
    </row>
    <row r="15" spans="1:12" ht="13.5" thickBot="1">
      <c r="A15" s="438" t="s">
        <v>127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40"/>
    </row>
    <row r="16" spans="1:12" ht="13.5" thickBot="1">
      <c r="A16" s="95" t="s">
        <v>128</v>
      </c>
      <c r="B16" s="69" t="s">
        <v>10</v>
      </c>
      <c r="C16" s="96">
        <f>C13+C12</f>
        <v>2598700</v>
      </c>
      <c r="D16" s="96">
        <f aca="true" t="shared" si="1" ref="D16:K16">D13+D12</f>
        <v>1267800</v>
      </c>
      <c r="E16" s="96">
        <f t="shared" si="1"/>
        <v>700000</v>
      </c>
      <c r="F16" s="96">
        <f t="shared" si="1"/>
        <v>436322</v>
      </c>
      <c r="G16" s="96">
        <f t="shared" si="1"/>
        <v>160000</v>
      </c>
      <c r="H16" s="96">
        <f t="shared" si="1"/>
        <v>924835</v>
      </c>
      <c r="I16" s="96">
        <f t="shared" si="1"/>
        <v>924835</v>
      </c>
      <c r="J16" s="96">
        <f t="shared" si="1"/>
        <v>510745</v>
      </c>
      <c r="K16" s="96">
        <f t="shared" si="1"/>
        <v>414090</v>
      </c>
      <c r="L16" s="254">
        <f>J16/C16</f>
        <v>0.19653865394235578</v>
      </c>
    </row>
    <row r="17" spans="1:12" ht="13.5" hidden="1" thickBot="1">
      <c r="A17" s="17" t="s">
        <v>130</v>
      </c>
      <c r="B17" s="53" t="s">
        <v>168</v>
      </c>
      <c r="C17" s="28">
        <f>C18+C19+C20+C21+C22</f>
        <v>0</v>
      </c>
      <c r="D17" s="28">
        <f aca="true" t="shared" si="2" ref="D17:K17">D18+D19+D20+D21+D22</f>
        <v>0</v>
      </c>
      <c r="E17" s="28">
        <f t="shared" si="2"/>
        <v>6000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58">
        <f t="shared" si="2"/>
        <v>0</v>
      </c>
      <c r="L17" s="257"/>
    </row>
    <row r="18" spans="1:12" ht="12.75" hidden="1">
      <c r="A18" s="11" t="s">
        <v>183</v>
      </c>
      <c r="B18" s="468" t="s">
        <v>13</v>
      </c>
      <c r="C18" s="12">
        <f>D18+E18+F18+G18</f>
        <v>0</v>
      </c>
      <c r="D18" s="12"/>
      <c r="E18" s="12"/>
      <c r="F18" s="12"/>
      <c r="G18" s="81"/>
      <c r="H18" s="9"/>
      <c r="I18" s="9"/>
      <c r="J18" s="9"/>
      <c r="K18" s="19">
        <f>H18-J18</f>
        <v>0</v>
      </c>
      <c r="L18" s="253"/>
    </row>
    <row r="19" spans="1:12" ht="12.75" hidden="1">
      <c r="A19" s="1" t="s">
        <v>184</v>
      </c>
      <c r="B19" s="469"/>
      <c r="C19" s="9">
        <f>D19+E19+F19+G19</f>
        <v>0</v>
      </c>
      <c r="D19" s="9"/>
      <c r="E19" s="9"/>
      <c r="F19" s="9"/>
      <c r="G19" s="79"/>
      <c r="H19" s="9"/>
      <c r="I19" s="9"/>
      <c r="J19" s="9"/>
      <c r="K19" s="19">
        <f>H19-J19</f>
        <v>0</v>
      </c>
      <c r="L19" s="253"/>
    </row>
    <row r="20" spans="1:12" ht="12.75" hidden="1">
      <c r="A20" s="1" t="s">
        <v>185</v>
      </c>
      <c r="B20" s="469"/>
      <c r="C20" s="9">
        <f>D20+E20+F20+G20</f>
        <v>0</v>
      </c>
      <c r="D20" s="9"/>
      <c r="E20" s="9"/>
      <c r="F20" s="9"/>
      <c r="G20" s="79"/>
      <c r="H20" s="9"/>
      <c r="I20" s="9"/>
      <c r="J20" s="9"/>
      <c r="K20" s="19">
        <f>H20-J20</f>
        <v>0</v>
      </c>
      <c r="L20" s="253"/>
    </row>
    <row r="21" spans="1:12" ht="12.75" hidden="1">
      <c r="A21" s="46" t="s">
        <v>186</v>
      </c>
      <c r="B21" s="469"/>
      <c r="C21" s="47">
        <v>0</v>
      </c>
      <c r="D21" s="47">
        <v>0</v>
      </c>
      <c r="E21" s="47">
        <v>6000</v>
      </c>
      <c r="F21" s="47"/>
      <c r="G21" s="80"/>
      <c r="H21" s="47">
        <v>0</v>
      </c>
      <c r="I21" s="47">
        <v>0</v>
      </c>
      <c r="J21" s="47">
        <v>0</v>
      </c>
      <c r="K21" s="61">
        <f>H21-J21</f>
        <v>0</v>
      </c>
      <c r="L21" s="255"/>
    </row>
    <row r="22" spans="1:12" ht="13.5" hidden="1" thickBot="1">
      <c r="A22" s="3" t="s">
        <v>187</v>
      </c>
      <c r="B22" s="469"/>
      <c r="C22" s="63"/>
      <c r="D22" s="63"/>
      <c r="E22" s="63"/>
      <c r="F22" s="63"/>
      <c r="G22" s="91"/>
      <c r="H22" s="63"/>
      <c r="I22" s="63"/>
      <c r="J22" s="63"/>
      <c r="K22" s="92">
        <f>H22-J22</f>
        <v>0</v>
      </c>
      <c r="L22" s="256"/>
    </row>
    <row r="23" spans="1:12" ht="13.5" thickBot="1">
      <c r="A23" s="446" t="s">
        <v>127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8"/>
    </row>
    <row r="24" spans="1:12" ht="13.5" thickBot="1">
      <c r="A24" s="93" t="s">
        <v>129</v>
      </c>
      <c r="B24" s="42" t="s">
        <v>13</v>
      </c>
      <c r="C24" s="94">
        <f>C21</f>
        <v>0</v>
      </c>
      <c r="D24" s="94">
        <f aca="true" t="shared" si="3" ref="D24:K24">D21</f>
        <v>0</v>
      </c>
      <c r="E24" s="94">
        <f t="shared" si="3"/>
        <v>6000</v>
      </c>
      <c r="F24" s="94">
        <f t="shared" si="3"/>
        <v>0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94">
        <f t="shared" si="3"/>
        <v>0</v>
      </c>
      <c r="K24" s="102">
        <f t="shared" si="3"/>
        <v>0</v>
      </c>
      <c r="L24" s="258"/>
    </row>
    <row r="25" spans="1:12" ht="24.75" customHeight="1" thickBot="1">
      <c r="A25" s="48" t="s">
        <v>131</v>
      </c>
      <c r="B25" s="49" t="s">
        <v>168</v>
      </c>
      <c r="C25" s="50">
        <f>C28+C29</f>
        <v>617900</v>
      </c>
      <c r="D25" s="50">
        <f aca="true" t="shared" si="4" ref="D25:K25">D28+D29</f>
        <v>385200</v>
      </c>
      <c r="E25" s="50">
        <f t="shared" si="4"/>
        <v>0</v>
      </c>
      <c r="F25" s="50">
        <f t="shared" si="4"/>
        <v>0</v>
      </c>
      <c r="G25" s="50">
        <f t="shared" si="4"/>
        <v>0</v>
      </c>
      <c r="H25" s="50">
        <f t="shared" si="4"/>
        <v>231939</v>
      </c>
      <c r="I25" s="50">
        <f t="shared" si="4"/>
        <v>231939</v>
      </c>
      <c r="J25" s="50">
        <f t="shared" si="4"/>
        <v>229679</v>
      </c>
      <c r="K25" s="51">
        <f t="shared" si="4"/>
        <v>2260</v>
      </c>
      <c r="L25" s="331">
        <f>J25/C25</f>
        <v>0.3717090144036252</v>
      </c>
    </row>
    <row r="26" spans="1:12" ht="12.75">
      <c r="A26" s="327" t="s">
        <v>183</v>
      </c>
      <c r="B26" s="42"/>
      <c r="C26" s="64">
        <f>D26+E26+F26+G26</f>
        <v>0</v>
      </c>
      <c r="D26" s="64"/>
      <c r="E26" s="64"/>
      <c r="F26" s="64"/>
      <c r="G26" s="328"/>
      <c r="H26" s="64"/>
      <c r="I26" s="64"/>
      <c r="J26" s="64"/>
      <c r="K26" s="329">
        <f>H26-J26</f>
        <v>0</v>
      </c>
      <c r="L26" s="330"/>
    </row>
    <row r="27" spans="1:12" ht="12.75">
      <c r="A27" s="1" t="s">
        <v>184</v>
      </c>
      <c r="B27" s="42"/>
      <c r="C27" s="63">
        <f>D27+E27+F27+G27</f>
        <v>0</v>
      </c>
      <c r="D27" s="9"/>
      <c r="E27" s="9"/>
      <c r="F27" s="9"/>
      <c r="G27" s="79"/>
      <c r="H27" s="9"/>
      <c r="I27" s="9"/>
      <c r="J27" s="9"/>
      <c r="K27" s="19">
        <f>H27-J27</f>
        <v>0</v>
      </c>
      <c r="L27" s="253"/>
    </row>
    <row r="28" spans="1:12" ht="12.75">
      <c r="A28" s="286" t="s">
        <v>262</v>
      </c>
      <c r="B28" s="52" t="s">
        <v>23</v>
      </c>
      <c r="C28" s="10">
        <v>252300</v>
      </c>
      <c r="D28" s="10">
        <f>8550+24650</f>
        <v>33200</v>
      </c>
      <c r="E28" s="10"/>
      <c r="F28" s="10"/>
      <c r="G28" s="82"/>
      <c r="H28" s="10">
        <v>2260</v>
      </c>
      <c r="I28" s="10">
        <v>2260</v>
      </c>
      <c r="J28" s="10"/>
      <c r="K28" s="59">
        <f>H28-J28</f>
        <v>2260</v>
      </c>
      <c r="L28" s="259">
        <f>J28/C28</f>
        <v>0</v>
      </c>
    </row>
    <row r="29" spans="1:12" ht="12.75">
      <c r="A29" s="444" t="s">
        <v>226</v>
      </c>
      <c r="B29" s="65"/>
      <c r="C29" s="66">
        <f>C30+C31+C32</f>
        <v>365600</v>
      </c>
      <c r="D29" s="66">
        <f aca="true" t="shared" si="5" ref="D29:K29">D30+D31+D32</f>
        <v>352000</v>
      </c>
      <c r="E29" s="66">
        <f t="shared" si="5"/>
        <v>0</v>
      </c>
      <c r="F29" s="66">
        <f t="shared" si="5"/>
        <v>0</v>
      </c>
      <c r="G29" s="66">
        <f t="shared" si="5"/>
        <v>0</v>
      </c>
      <c r="H29" s="66">
        <f t="shared" si="5"/>
        <v>229679</v>
      </c>
      <c r="I29" s="66">
        <f t="shared" si="5"/>
        <v>229679</v>
      </c>
      <c r="J29" s="66">
        <f t="shared" si="5"/>
        <v>229679</v>
      </c>
      <c r="K29" s="78">
        <f t="shared" si="5"/>
        <v>0</v>
      </c>
      <c r="L29" s="260">
        <f>J29/C29</f>
        <v>0.6282248358862145</v>
      </c>
    </row>
    <row r="30" spans="1:12" ht="12.75">
      <c r="A30" s="445"/>
      <c r="B30" s="54" t="s">
        <v>21</v>
      </c>
      <c r="C30" s="64">
        <v>251600</v>
      </c>
      <c r="D30" s="64">
        <v>238000</v>
      </c>
      <c r="E30" s="9"/>
      <c r="F30" s="9"/>
      <c r="G30" s="79"/>
      <c r="H30" s="9">
        <v>229679</v>
      </c>
      <c r="I30" s="9">
        <v>229679</v>
      </c>
      <c r="J30" s="9">
        <v>229679</v>
      </c>
      <c r="K30" s="19">
        <f>H30-J30</f>
        <v>0</v>
      </c>
      <c r="L30" s="253">
        <f>J30/C30</f>
        <v>0.9128736089030207</v>
      </c>
    </row>
    <row r="31" spans="1:12" ht="12.75">
      <c r="A31" s="445"/>
      <c r="B31" s="54" t="s">
        <v>22</v>
      </c>
      <c r="C31" s="64">
        <v>114000</v>
      </c>
      <c r="D31" s="9">
        <v>114000</v>
      </c>
      <c r="E31" s="9"/>
      <c r="F31" s="9"/>
      <c r="G31" s="79"/>
      <c r="H31" s="9">
        <v>0</v>
      </c>
      <c r="I31" s="9">
        <v>0</v>
      </c>
      <c r="J31" s="9">
        <v>0</v>
      </c>
      <c r="K31" s="19">
        <f>H31-J31</f>
        <v>0</v>
      </c>
      <c r="L31" s="253">
        <f>J31/C31</f>
        <v>0</v>
      </c>
    </row>
    <row r="32" spans="1:12" ht="12.75">
      <c r="A32" s="445"/>
      <c r="B32" s="54" t="s">
        <v>23</v>
      </c>
      <c r="C32" s="64"/>
      <c r="D32" s="9"/>
      <c r="E32" s="9"/>
      <c r="F32" s="9"/>
      <c r="G32" s="79"/>
      <c r="H32" s="9"/>
      <c r="I32" s="9"/>
      <c r="J32" s="9"/>
      <c r="K32" s="19">
        <f>H32-J32</f>
        <v>0</v>
      </c>
      <c r="L32" s="253"/>
    </row>
    <row r="33" spans="1:12" ht="12.75">
      <c r="A33" s="475"/>
      <c r="B33" s="54"/>
      <c r="C33" s="64"/>
      <c r="D33" s="9"/>
      <c r="E33" s="9"/>
      <c r="F33" s="9"/>
      <c r="G33" s="79"/>
      <c r="H33" s="9"/>
      <c r="I33" s="9"/>
      <c r="J33" s="9"/>
      <c r="K33" s="19">
        <f>H33-J33</f>
        <v>0</v>
      </c>
      <c r="L33" s="253"/>
    </row>
    <row r="34" spans="1:12" ht="13.5" thickBot="1">
      <c r="A34" s="3" t="s">
        <v>187</v>
      </c>
      <c r="B34" s="42"/>
      <c r="C34" s="63"/>
      <c r="D34" s="63"/>
      <c r="E34" s="63"/>
      <c r="F34" s="63"/>
      <c r="G34" s="91"/>
      <c r="H34" s="63"/>
      <c r="I34" s="63"/>
      <c r="J34" s="63"/>
      <c r="K34" s="92"/>
      <c r="L34" s="256"/>
    </row>
    <row r="35" spans="1:12" ht="13.5" thickBot="1">
      <c r="A35" s="438" t="s">
        <v>127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40"/>
    </row>
    <row r="36" spans="1:12" ht="12.75">
      <c r="A36" s="98"/>
      <c r="B36" s="69" t="s">
        <v>168</v>
      </c>
      <c r="C36" s="96"/>
      <c r="D36" s="96"/>
      <c r="E36" s="96"/>
      <c r="F36" s="96"/>
      <c r="G36" s="99"/>
      <c r="H36" s="96"/>
      <c r="I36" s="96"/>
      <c r="J36" s="96"/>
      <c r="K36" s="97"/>
      <c r="L36" s="97"/>
    </row>
    <row r="37" spans="1:12" ht="12.75">
      <c r="A37" s="5" t="s">
        <v>17</v>
      </c>
      <c r="B37" s="52" t="s">
        <v>21</v>
      </c>
      <c r="C37" s="10">
        <f>C30</f>
        <v>251600</v>
      </c>
      <c r="D37" s="10">
        <f aca="true" t="shared" si="6" ref="D37:K37">D30</f>
        <v>238000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229679</v>
      </c>
      <c r="I37" s="10">
        <f t="shared" si="6"/>
        <v>229679</v>
      </c>
      <c r="J37" s="10">
        <f t="shared" si="6"/>
        <v>229679</v>
      </c>
      <c r="K37" s="59">
        <f t="shared" si="6"/>
        <v>0</v>
      </c>
      <c r="L37" s="259">
        <f>J37/C37</f>
        <v>0.9128736089030207</v>
      </c>
    </row>
    <row r="38" spans="1:12" ht="12.75">
      <c r="A38" s="5" t="s">
        <v>19</v>
      </c>
      <c r="B38" s="52" t="s">
        <v>22</v>
      </c>
      <c r="C38" s="10">
        <f>C31</f>
        <v>114000</v>
      </c>
      <c r="D38" s="10">
        <f aca="true" t="shared" si="7" ref="D38:K38">D31</f>
        <v>114000</v>
      </c>
      <c r="E38" s="10">
        <f t="shared" si="7"/>
        <v>0</v>
      </c>
      <c r="F38" s="10">
        <f t="shared" si="7"/>
        <v>0</v>
      </c>
      <c r="G38" s="10">
        <f t="shared" si="7"/>
        <v>0</v>
      </c>
      <c r="H38" s="10">
        <f t="shared" si="7"/>
        <v>0</v>
      </c>
      <c r="I38" s="10">
        <f t="shared" si="7"/>
        <v>0</v>
      </c>
      <c r="J38" s="10">
        <f t="shared" si="7"/>
        <v>0</v>
      </c>
      <c r="K38" s="59">
        <f t="shared" si="7"/>
        <v>0</v>
      </c>
      <c r="L38" s="259">
        <f>J38/C38</f>
        <v>0</v>
      </c>
    </row>
    <row r="39" spans="1:12" ht="13.5" thickBot="1">
      <c r="A39" s="4" t="s">
        <v>20</v>
      </c>
      <c r="B39" s="332" t="s">
        <v>23</v>
      </c>
      <c r="C39" s="14">
        <f>C28+C32</f>
        <v>252300</v>
      </c>
      <c r="D39" s="14">
        <f aca="true" t="shared" si="8" ref="D39:K39">D28+D32</f>
        <v>33200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2260</v>
      </c>
      <c r="I39" s="14">
        <f t="shared" si="8"/>
        <v>2260</v>
      </c>
      <c r="J39" s="14">
        <f t="shared" si="8"/>
        <v>0</v>
      </c>
      <c r="K39" s="60">
        <f t="shared" si="8"/>
        <v>2260</v>
      </c>
      <c r="L39" s="259">
        <f>J39/C39</f>
        <v>0</v>
      </c>
    </row>
    <row r="40" spans="1:12" ht="24.75" customHeight="1" thickBot="1">
      <c r="A40" s="48" t="s">
        <v>132</v>
      </c>
      <c r="B40" s="49" t="s">
        <v>168</v>
      </c>
      <c r="C40" s="50">
        <f aca="true" t="shared" si="9" ref="C40:K40">C43+C47</f>
        <v>8226930</v>
      </c>
      <c r="D40" s="50">
        <f t="shared" si="9"/>
        <v>4905188</v>
      </c>
      <c r="E40" s="50">
        <f t="shared" si="9"/>
        <v>0</v>
      </c>
      <c r="F40" s="50">
        <f t="shared" si="9"/>
        <v>0</v>
      </c>
      <c r="G40" s="50">
        <f t="shared" si="9"/>
        <v>0</v>
      </c>
      <c r="H40" s="50">
        <f t="shared" si="9"/>
        <v>6298479</v>
      </c>
      <c r="I40" s="50">
        <f t="shared" si="9"/>
        <v>6298479</v>
      </c>
      <c r="J40" s="50">
        <f t="shared" si="9"/>
        <v>862844</v>
      </c>
      <c r="K40" s="51">
        <f t="shared" si="9"/>
        <v>5435635</v>
      </c>
      <c r="L40" s="331">
        <f>J40/C40</f>
        <v>0.10488043535073228</v>
      </c>
    </row>
    <row r="41" spans="1:12" ht="12.75">
      <c r="A41" s="327" t="s">
        <v>183</v>
      </c>
      <c r="B41" s="77"/>
      <c r="C41" s="64">
        <f>D41+E41+F41+G41</f>
        <v>0</v>
      </c>
      <c r="D41" s="64"/>
      <c r="E41" s="64"/>
      <c r="F41" s="64"/>
      <c r="G41" s="328"/>
      <c r="H41" s="64"/>
      <c r="I41" s="64"/>
      <c r="J41" s="64"/>
      <c r="K41" s="329">
        <f>H41-J41</f>
        <v>0</v>
      </c>
      <c r="L41" s="329">
        <f>I41-K41</f>
        <v>0</v>
      </c>
    </row>
    <row r="42" spans="1:12" ht="12.75">
      <c r="A42" s="1" t="s">
        <v>184</v>
      </c>
      <c r="B42" s="71"/>
      <c r="C42" s="9">
        <f>D42+E42+F42+G42</f>
        <v>0</v>
      </c>
      <c r="D42" s="9"/>
      <c r="E42" s="9"/>
      <c r="F42" s="9"/>
      <c r="G42" s="79"/>
      <c r="H42" s="9"/>
      <c r="I42" s="9"/>
      <c r="J42" s="9"/>
      <c r="K42" s="19">
        <f>H42-J42</f>
        <v>0</v>
      </c>
      <c r="L42" s="19">
        <f>I42-K42</f>
        <v>0</v>
      </c>
    </row>
    <row r="43" spans="1:12" ht="12.75">
      <c r="A43" s="434" t="s">
        <v>243</v>
      </c>
      <c r="B43" s="44" t="s">
        <v>168</v>
      </c>
      <c r="C43" s="10">
        <f>C44+C46+C45</f>
        <v>3711900</v>
      </c>
      <c r="D43" s="10">
        <f>D44+D46+D45</f>
        <v>1674895</v>
      </c>
      <c r="E43" s="10">
        <f>E44+E46+E45</f>
        <v>0</v>
      </c>
      <c r="F43" s="10">
        <f>F44+F46+F45</f>
        <v>0</v>
      </c>
      <c r="G43" s="10">
        <f>G44+G46+G45</f>
        <v>0</v>
      </c>
      <c r="H43" s="10">
        <v>3375408</v>
      </c>
      <c r="I43" s="10">
        <v>3375408</v>
      </c>
      <c r="J43" s="10">
        <v>99137</v>
      </c>
      <c r="K43" s="10">
        <f>H43-J43</f>
        <v>3276271</v>
      </c>
      <c r="L43" s="373">
        <f aca="true" t="shared" si="10" ref="L43:L48">J43/C43</f>
        <v>0.026707885449500257</v>
      </c>
    </row>
    <row r="44" spans="1:12" ht="24.75" customHeight="1" hidden="1">
      <c r="A44" s="435"/>
      <c r="B44" s="38" t="s">
        <v>31</v>
      </c>
      <c r="C44" s="9">
        <v>3502400</v>
      </c>
      <c r="D44" s="9">
        <f>444275+1084120</f>
        <v>1528395</v>
      </c>
      <c r="E44" s="9"/>
      <c r="F44" s="9"/>
      <c r="G44" s="79"/>
      <c r="H44" s="9"/>
      <c r="I44" s="9"/>
      <c r="J44" s="9"/>
      <c r="K44" s="19">
        <f>H44-J44</f>
        <v>0</v>
      </c>
      <c r="L44" s="253">
        <f t="shared" si="10"/>
        <v>0</v>
      </c>
    </row>
    <row r="45" spans="1:12" ht="24.75" customHeight="1" hidden="1">
      <c r="A45" s="435"/>
      <c r="B45" s="38" t="s">
        <v>214</v>
      </c>
      <c r="C45" s="9">
        <v>63000</v>
      </c>
      <c r="D45" s="9"/>
      <c r="E45" s="9"/>
      <c r="F45" s="9"/>
      <c r="G45" s="79"/>
      <c r="H45" s="9"/>
      <c r="I45" s="9"/>
      <c r="J45" s="9"/>
      <c r="K45" s="19"/>
      <c r="L45" s="253">
        <f t="shared" si="10"/>
        <v>0</v>
      </c>
    </row>
    <row r="46" spans="1:12" ht="24.75" customHeight="1" hidden="1">
      <c r="A46" s="436"/>
      <c r="B46" s="38" t="s">
        <v>32</v>
      </c>
      <c r="C46" s="9">
        <v>146500</v>
      </c>
      <c r="D46" s="9">
        <v>146500</v>
      </c>
      <c r="E46" s="9"/>
      <c r="F46" s="9"/>
      <c r="G46" s="79"/>
      <c r="H46" s="9"/>
      <c r="I46" s="9"/>
      <c r="J46" s="9"/>
      <c r="K46" s="19"/>
      <c r="L46" s="253">
        <f t="shared" si="10"/>
        <v>0</v>
      </c>
    </row>
    <row r="47" spans="1:12" ht="12.75">
      <c r="A47" s="470" t="s">
        <v>227</v>
      </c>
      <c r="B47" s="70"/>
      <c r="C47" s="47">
        <f>C48+C50+C51+C52+C49</f>
        <v>4515030</v>
      </c>
      <c r="D47" s="47">
        <f>D48+D50+D51+D52+D49</f>
        <v>3230293</v>
      </c>
      <c r="E47" s="47">
        <f>E48+E50+E51+E52+E49</f>
        <v>0</v>
      </c>
      <c r="F47" s="47">
        <f>F48+F50+F51+F52+F49</f>
        <v>0</v>
      </c>
      <c r="G47" s="47">
        <f>G48+G50+G51+G52+G49</f>
        <v>0</v>
      </c>
      <c r="H47" s="47">
        <v>2923071</v>
      </c>
      <c r="I47" s="47">
        <v>2923071</v>
      </c>
      <c r="J47" s="47">
        <v>763707</v>
      </c>
      <c r="K47" s="47">
        <f>H47-J47</f>
        <v>2159364</v>
      </c>
      <c r="L47" s="255">
        <f t="shared" si="10"/>
        <v>0.16914771330423053</v>
      </c>
    </row>
    <row r="48" spans="1:12" ht="12.75" hidden="1">
      <c r="A48" s="471"/>
      <c r="B48" s="88" t="s">
        <v>31</v>
      </c>
      <c r="C48" s="34">
        <v>529139</v>
      </c>
      <c r="D48" s="34">
        <v>529139</v>
      </c>
      <c r="E48" s="34"/>
      <c r="F48" s="34"/>
      <c r="G48" s="89"/>
      <c r="H48" s="34"/>
      <c r="I48" s="34"/>
      <c r="J48" s="34">
        <v>0</v>
      </c>
      <c r="K48" s="83"/>
      <c r="L48" s="281">
        <f t="shared" si="10"/>
        <v>0</v>
      </c>
    </row>
    <row r="49" spans="1:12" ht="12.75" hidden="1">
      <c r="A49" s="471"/>
      <c r="B49" s="88" t="s">
        <v>214</v>
      </c>
      <c r="C49" s="34"/>
      <c r="D49" s="34"/>
      <c r="E49" s="34"/>
      <c r="F49" s="34"/>
      <c r="G49" s="89"/>
      <c r="H49" s="34"/>
      <c r="I49" s="34"/>
      <c r="J49" s="34">
        <v>0</v>
      </c>
      <c r="K49" s="83"/>
      <c r="L49" s="281"/>
    </row>
    <row r="50" spans="1:12" ht="12.75" hidden="1">
      <c r="A50" s="471"/>
      <c r="B50" s="71" t="s">
        <v>194</v>
      </c>
      <c r="C50" s="9">
        <v>128200</v>
      </c>
      <c r="D50" s="9">
        <v>128200</v>
      </c>
      <c r="E50" s="9"/>
      <c r="F50" s="9"/>
      <c r="G50" s="79"/>
      <c r="H50" s="9"/>
      <c r="I50" s="9"/>
      <c r="J50" s="9">
        <v>0</v>
      </c>
      <c r="K50" s="19">
        <f>H50-J50</f>
        <v>0</v>
      </c>
      <c r="L50" s="281">
        <f>J50/C50</f>
        <v>0</v>
      </c>
    </row>
    <row r="51" spans="1:12" ht="12.75" hidden="1">
      <c r="A51" s="471"/>
      <c r="B51" s="71" t="s">
        <v>32</v>
      </c>
      <c r="C51" s="9">
        <v>735829</v>
      </c>
      <c r="D51" s="9">
        <f>285000+287954</f>
        <v>572954</v>
      </c>
      <c r="E51" s="9"/>
      <c r="F51" s="9"/>
      <c r="G51" s="79"/>
      <c r="H51" s="9"/>
      <c r="I51" s="9"/>
      <c r="J51" s="9"/>
      <c r="K51" s="19"/>
      <c r="L51" s="281">
        <f>J51/C51</f>
        <v>0</v>
      </c>
    </row>
    <row r="52" spans="1:12" ht="12.75" hidden="1">
      <c r="A52" s="472"/>
      <c r="B52" s="71" t="s">
        <v>33</v>
      </c>
      <c r="C52" s="9">
        <v>3121862</v>
      </c>
      <c r="D52" s="9">
        <v>2000000</v>
      </c>
      <c r="E52" s="9"/>
      <c r="F52" s="9"/>
      <c r="G52" s="79"/>
      <c r="H52" s="9"/>
      <c r="I52" s="9"/>
      <c r="J52" s="9">
        <v>0</v>
      </c>
      <c r="K52" s="19">
        <f>H52-J52</f>
        <v>0</v>
      </c>
      <c r="L52" s="281">
        <f>J52/C52</f>
        <v>0</v>
      </c>
    </row>
    <row r="53" spans="1:12" ht="13.5" thickBot="1">
      <c r="A53" s="3" t="s">
        <v>187</v>
      </c>
      <c r="B53" s="72"/>
      <c r="C53" s="63"/>
      <c r="D53" s="63"/>
      <c r="E53" s="63"/>
      <c r="F53" s="63"/>
      <c r="G53" s="91"/>
      <c r="H53" s="63"/>
      <c r="I53" s="63"/>
      <c r="J53" s="63"/>
      <c r="K53" s="92">
        <f>H53-J53</f>
        <v>0</v>
      </c>
      <c r="L53" s="83"/>
    </row>
    <row r="54" spans="1:12" ht="13.5" thickBot="1">
      <c r="A54" s="438" t="s">
        <v>127</v>
      </c>
      <c r="B54" s="439"/>
      <c r="C54" s="439"/>
      <c r="D54" s="439"/>
      <c r="E54" s="439"/>
      <c r="F54" s="439"/>
      <c r="G54" s="439"/>
      <c r="H54" s="439"/>
      <c r="I54" s="439"/>
      <c r="J54" s="439"/>
      <c r="K54" s="439"/>
      <c r="L54" s="440"/>
    </row>
    <row r="55" spans="1:12" ht="12.75">
      <c r="A55" s="95" t="s">
        <v>224</v>
      </c>
      <c r="B55" s="77" t="s">
        <v>31</v>
      </c>
      <c r="C55" s="96">
        <f>C44+C48</f>
        <v>4031539</v>
      </c>
      <c r="D55" s="96">
        <f>D44+D48</f>
        <v>2057534</v>
      </c>
      <c r="E55" s="96">
        <f>E44+E48</f>
        <v>0</v>
      </c>
      <c r="F55" s="96">
        <f>F44+F48</f>
        <v>0</v>
      </c>
      <c r="G55" s="96">
        <f>G44+G48</f>
        <v>0</v>
      </c>
      <c r="H55" s="96">
        <v>3374908</v>
      </c>
      <c r="I55" s="96">
        <v>3374908</v>
      </c>
      <c r="J55" s="96">
        <v>98637</v>
      </c>
      <c r="K55" s="96">
        <f>H55-J55</f>
        <v>3276271</v>
      </c>
      <c r="L55" s="254">
        <f aca="true" t="shared" si="11" ref="L55:L61">J55/C55</f>
        <v>0.02446633903330713</v>
      </c>
    </row>
    <row r="56" spans="1:12" ht="12.75">
      <c r="A56" s="95" t="s">
        <v>234</v>
      </c>
      <c r="B56" s="77" t="s">
        <v>214</v>
      </c>
      <c r="C56" s="96">
        <f>C49+C45</f>
        <v>63000</v>
      </c>
      <c r="D56" s="96">
        <f>D49+D45</f>
        <v>0</v>
      </c>
      <c r="E56" s="96">
        <f>E49+E45</f>
        <v>0</v>
      </c>
      <c r="F56" s="96">
        <f>F49+F45</f>
        <v>0</v>
      </c>
      <c r="G56" s="96">
        <f>G49+G45</f>
        <v>0</v>
      </c>
      <c r="H56" s="96"/>
      <c r="I56" s="96"/>
      <c r="J56" s="96"/>
      <c r="K56" s="96">
        <f>H56-J56</f>
        <v>0</v>
      </c>
      <c r="L56" s="254">
        <f t="shared" si="11"/>
        <v>0</v>
      </c>
    </row>
    <row r="57" spans="1:12" ht="12.75">
      <c r="A57" s="16" t="s">
        <v>225</v>
      </c>
      <c r="B57" s="71" t="s">
        <v>194</v>
      </c>
      <c r="C57" s="10">
        <v>191200</v>
      </c>
      <c r="D57" s="10">
        <v>128200</v>
      </c>
      <c r="E57" s="10">
        <f>E50</f>
        <v>0</v>
      </c>
      <c r="F57" s="10">
        <f>F50</f>
        <v>0</v>
      </c>
      <c r="G57" s="10">
        <f>G50</f>
        <v>0</v>
      </c>
      <c r="H57" s="10">
        <v>71197</v>
      </c>
      <c r="I57" s="10">
        <v>71197</v>
      </c>
      <c r="J57" s="10">
        <v>71197</v>
      </c>
      <c r="K57" s="96">
        <f>H57-J57</f>
        <v>0</v>
      </c>
      <c r="L57" s="254">
        <f t="shared" si="11"/>
        <v>0.3723692468619247</v>
      </c>
    </row>
    <row r="58" spans="1:12" ht="12.75">
      <c r="A58" s="16" t="s">
        <v>133</v>
      </c>
      <c r="B58" s="71" t="s">
        <v>32</v>
      </c>
      <c r="C58" s="10">
        <f>C51+C46</f>
        <v>882329</v>
      </c>
      <c r="D58" s="10">
        <f>D51+D46</f>
        <v>719454</v>
      </c>
      <c r="E58" s="10">
        <f>E51+E46</f>
        <v>0</v>
      </c>
      <c r="F58" s="10">
        <f>F51+F46</f>
        <v>0</v>
      </c>
      <c r="G58" s="10">
        <f>G51+G46</f>
        <v>0</v>
      </c>
      <c r="H58" s="10">
        <v>51121</v>
      </c>
      <c r="I58" s="10">
        <v>51121</v>
      </c>
      <c r="J58" s="10">
        <v>51121</v>
      </c>
      <c r="K58" s="96">
        <f>H58-J58</f>
        <v>0</v>
      </c>
      <c r="L58" s="254">
        <f t="shared" si="11"/>
        <v>0.05793870540353995</v>
      </c>
    </row>
    <row r="59" spans="1:12" ht="13.5" thickBot="1">
      <c r="A59" s="13" t="s">
        <v>134</v>
      </c>
      <c r="B59" s="72" t="s">
        <v>33</v>
      </c>
      <c r="C59" s="14">
        <f>C52</f>
        <v>3121862</v>
      </c>
      <c r="D59" s="14">
        <f>D52</f>
        <v>2000000</v>
      </c>
      <c r="E59" s="14">
        <f>E52</f>
        <v>0</v>
      </c>
      <c r="F59" s="14">
        <f>F52</f>
        <v>0</v>
      </c>
      <c r="G59" s="14">
        <f>G52</f>
        <v>0</v>
      </c>
      <c r="H59" s="14">
        <v>2801253</v>
      </c>
      <c r="I59" s="14">
        <v>2801253</v>
      </c>
      <c r="J59" s="14">
        <v>641889</v>
      </c>
      <c r="K59" s="96">
        <f>H59-J59</f>
        <v>2159364</v>
      </c>
      <c r="L59" s="254">
        <f t="shared" si="11"/>
        <v>0.2056109462878244</v>
      </c>
    </row>
    <row r="60" spans="1:12" s="32" customFormat="1" ht="24.75" customHeight="1" thickBot="1">
      <c r="A60" s="48" t="s">
        <v>135</v>
      </c>
      <c r="B60" s="49" t="s">
        <v>168</v>
      </c>
      <c r="C60" s="50">
        <f>C61+C62+C63+C64+C65</f>
        <v>300000</v>
      </c>
      <c r="D60" s="50">
        <f aca="true" t="shared" si="12" ref="D60:K60">D61+D62+D63+D64+D65</f>
        <v>300000</v>
      </c>
      <c r="E60" s="50">
        <f t="shared" si="12"/>
        <v>400000</v>
      </c>
      <c r="F60" s="50">
        <f t="shared" si="12"/>
        <v>0</v>
      </c>
      <c r="G60" s="50">
        <f t="shared" si="12"/>
        <v>0</v>
      </c>
      <c r="H60" s="50">
        <f t="shared" si="12"/>
        <v>300000</v>
      </c>
      <c r="I60" s="50">
        <f t="shared" si="12"/>
        <v>300000</v>
      </c>
      <c r="J60" s="50">
        <f t="shared" si="12"/>
        <v>189567</v>
      </c>
      <c r="K60" s="51">
        <f t="shared" si="12"/>
        <v>110433</v>
      </c>
      <c r="L60" s="331">
        <f t="shared" si="11"/>
        <v>0.63189</v>
      </c>
    </row>
    <row r="61" spans="1:12" ht="12.75">
      <c r="A61" s="368" t="s">
        <v>183</v>
      </c>
      <c r="B61" s="369" t="s">
        <v>30</v>
      </c>
      <c r="C61" s="370">
        <v>300000</v>
      </c>
      <c r="D61" s="370">
        <v>300000</v>
      </c>
      <c r="E61" s="370">
        <v>400000</v>
      </c>
      <c r="F61" s="370"/>
      <c r="G61" s="371"/>
      <c r="H61" s="370">
        <v>300000</v>
      </c>
      <c r="I61" s="370">
        <v>300000</v>
      </c>
      <c r="J61" s="370">
        <v>189567</v>
      </c>
      <c r="K61" s="372">
        <f aca="true" t="shared" si="13" ref="K61:L65">H61-J61</f>
        <v>110433</v>
      </c>
      <c r="L61" s="374">
        <f t="shared" si="11"/>
        <v>0.63189</v>
      </c>
    </row>
    <row r="62" spans="1:12" ht="12.75">
      <c r="A62" s="1" t="s">
        <v>184</v>
      </c>
      <c r="B62" s="54"/>
      <c r="C62" s="9">
        <f>D62+E62+F62+G62</f>
        <v>0</v>
      </c>
      <c r="D62" s="9"/>
      <c r="E62" s="9"/>
      <c r="F62" s="9"/>
      <c r="G62" s="79"/>
      <c r="H62" s="9"/>
      <c r="I62" s="9"/>
      <c r="J62" s="9"/>
      <c r="K62" s="19">
        <f t="shared" si="13"/>
        <v>0</v>
      </c>
      <c r="L62" s="19">
        <f t="shared" si="13"/>
        <v>0</v>
      </c>
    </row>
    <row r="63" spans="1:12" ht="12.75">
      <c r="A63" s="1" t="s">
        <v>185</v>
      </c>
      <c r="B63" s="54"/>
      <c r="C63" s="9">
        <f>D63+E63+F63+G63</f>
        <v>0</v>
      </c>
      <c r="D63" s="9"/>
      <c r="E63" s="9"/>
      <c r="F63" s="9"/>
      <c r="G63" s="79"/>
      <c r="H63" s="9"/>
      <c r="I63" s="9"/>
      <c r="J63" s="9"/>
      <c r="K63" s="19">
        <f t="shared" si="13"/>
        <v>0</v>
      </c>
      <c r="L63" s="19">
        <f t="shared" si="13"/>
        <v>0</v>
      </c>
    </row>
    <row r="64" spans="1:12" ht="12.75">
      <c r="A64" s="1" t="s">
        <v>186</v>
      </c>
      <c r="B64" s="54"/>
      <c r="C64" s="9"/>
      <c r="D64" s="9"/>
      <c r="E64" s="9"/>
      <c r="F64" s="9"/>
      <c r="G64" s="79"/>
      <c r="H64" s="9"/>
      <c r="I64" s="9"/>
      <c r="J64" s="9"/>
      <c r="K64" s="19">
        <f t="shared" si="13"/>
        <v>0</v>
      </c>
      <c r="L64" s="19">
        <f t="shared" si="13"/>
        <v>0</v>
      </c>
    </row>
    <row r="65" spans="1:12" ht="12.75">
      <c r="A65" s="1" t="s">
        <v>187</v>
      </c>
      <c r="B65" s="54"/>
      <c r="C65" s="9"/>
      <c r="D65" s="9"/>
      <c r="E65" s="9"/>
      <c r="F65" s="9"/>
      <c r="G65" s="79"/>
      <c r="H65" s="9"/>
      <c r="I65" s="9"/>
      <c r="J65" s="9"/>
      <c r="K65" s="19">
        <f t="shared" si="13"/>
        <v>0</v>
      </c>
      <c r="L65" s="19">
        <f t="shared" si="13"/>
        <v>0</v>
      </c>
    </row>
    <row r="66" spans="1:12" ht="12.75">
      <c r="A66" s="449" t="s">
        <v>127</v>
      </c>
      <c r="B66" s="450"/>
      <c r="C66" s="450"/>
      <c r="D66" s="450"/>
      <c r="E66" s="450"/>
      <c r="F66" s="450"/>
      <c r="G66" s="450"/>
      <c r="H66" s="450"/>
      <c r="I66" s="450"/>
      <c r="J66" s="450"/>
      <c r="K66" s="451"/>
      <c r="L66" s="359"/>
    </row>
    <row r="67" spans="1:12" ht="13.5" thickBot="1">
      <c r="A67" s="13" t="s">
        <v>29</v>
      </c>
      <c r="B67" s="332" t="s">
        <v>30</v>
      </c>
      <c r="C67" s="14">
        <f>C61+C64</f>
        <v>300000</v>
      </c>
      <c r="D67" s="14">
        <f aca="true" t="shared" si="14" ref="D67:K67">D61+D64</f>
        <v>300000</v>
      </c>
      <c r="E67" s="14">
        <f t="shared" si="14"/>
        <v>400000</v>
      </c>
      <c r="F67" s="14">
        <f t="shared" si="14"/>
        <v>0</v>
      </c>
      <c r="G67" s="14">
        <f t="shared" si="14"/>
        <v>0</v>
      </c>
      <c r="H67" s="14">
        <f t="shared" si="14"/>
        <v>300000</v>
      </c>
      <c r="I67" s="14">
        <f t="shared" si="14"/>
        <v>300000</v>
      </c>
      <c r="J67" s="14">
        <f t="shared" si="14"/>
        <v>189567</v>
      </c>
      <c r="K67" s="60">
        <f t="shared" si="14"/>
        <v>110433</v>
      </c>
      <c r="L67" s="259">
        <f>L61+L64</f>
        <v>0.63189</v>
      </c>
    </row>
    <row r="68" spans="1:12" ht="24.75" customHeight="1" thickBot="1">
      <c r="A68" s="48" t="s">
        <v>136</v>
      </c>
      <c r="B68" s="49" t="s">
        <v>168</v>
      </c>
      <c r="C68" s="50">
        <f>C69+C72+C75</f>
        <v>10610200</v>
      </c>
      <c r="D68" s="50">
        <f aca="true" t="shared" si="15" ref="D68:K68">D69+D72+D75</f>
        <v>5991368</v>
      </c>
      <c r="E68" s="50">
        <f t="shared" si="15"/>
        <v>1437004</v>
      </c>
      <c r="F68" s="50">
        <f t="shared" si="15"/>
        <v>1437005</v>
      </c>
      <c r="G68" s="50">
        <f t="shared" si="15"/>
        <v>1437004</v>
      </c>
      <c r="H68" s="50">
        <f t="shared" si="15"/>
        <v>7707807</v>
      </c>
      <c r="I68" s="50">
        <f t="shared" si="15"/>
        <v>7707807</v>
      </c>
      <c r="J68" s="50">
        <f t="shared" si="15"/>
        <v>35881</v>
      </c>
      <c r="K68" s="50">
        <f t="shared" si="15"/>
        <v>7671926</v>
      </c>
      <c r="L68" s="375">
        <f>J68/C68</f>
        <v>0.0033817458671844074</v>
      </c>
    </row>
    <row r="69" spans="1:12" ht="12.75">
      <c r="A69" s="327" t="s">
        <v>189</v>
      </c>
      <c r="B69" s="77" t="s">
        <v>38</v>
      </c>
      <c r="C69" s="64"/>
      <c r="D69" s="64"/>
      <c r="E69" s="64"/>
      <c r="F69" s="64"/>
      <c r="G69" s="328"/>
      <c r="H69" s="64"/>
      <c r="I69" s="64"/>
      <c r="J69" s="64"/>
      <c r="K69" s="329">
        <f>H69-J69</f>
        <v>0</v>
      </c>
      <c r="L69" s="253"/>
    </row>
    <row r="70" spans="1:12" ht="12.75">
      <c r="A70" s="1" t="s">
        <v>190</v>
      </c>
      <c r="B70" s="71"/>
      <c r="C70" s="9">
        <f>D70+E70+F70+G70</f>
        <v>0</v>
      </c>
      <c r="D70" s="9"/>
      <c r="E70" s="9"/>
      <c r="F70" s="9"/>
      <c r="G70" s="79"/>
      <c r="H70" s="9"/>
      <c r="I70" s="9"/>
      <c r="J70" s="9"/>
      <c r="K70" s="19">
        <f>H70-J70</f>
        <v>0</v>
      </c>
      <c r="L70" s="253"/>
    </row>
    <row r="71" spans="1:12" ht="12.75">
      <c r="A71" s="1"/>
      <c r="B71" s="71"/>
      <c r="C71" s="9"/>
      <c r="D71" s="9"/>
      <c r="E71" s="9"/>
      <c r="F71" s="9"/>
      <c r="G71" s="79"/>
      <c r="H71" s="9"/>
      <c r="I71" s="9"/>
      <c r="J71" s="9"/>
      <c r="K71" s="19"/>
      <c r="L71" s="281"/>
    </row>
    <row r="72" spans="1:12" ht="12.75">
      <c r="A72" s="434" t="s">
        <v>258</v>
      </c>
      <c r="B72" s="267" t="s">
        <v>168</v>
      </c>
      <c r="C72" s="268">
        <f>C73+C74</f>
        <v>10020200</v>
      </c>
      <c r="D72" s="268">
        <f aca="true" t="shared" si="16" ref="D72:J72">D73+D74</f>
        <v>5491368</v>
      </c>
      <c r="E72" s="268">
        <f t="shared" si="16"/>
        <v>1437004</v>
      </c>
      <c r="F72" s="268">
        <f t="shared" si="16"/>
        <v>1437005</v>
      </c>
      <c r="G72" s="268">
        <f t="shared" si="16"/>
        <v>1437004</v>
      </c>
      <c r="H72" s="268">
        <f t="shared" si="16"/>
        <v>7707707</v>
      </c>
      <c r="I72" s="268">
        <f t="shared" si="16"/>
        <v>7707707</v>
      </c>
      <c r="J72" s="268">
        <f t="shared" si="16"/>
        <v>35781</v>
      </c>
      <c r="K72" s="268">
        <f>K73+K74</f>
        <v>7671926</v>
      </c>
      <c r="L72" s="280">
        <f>J72/C72</f>
        <v>0.003570886808646534</v>
      </c>
    </row>
    <row r="73" spans="1:12" ht="12.75">
      <c r="A73" s="435"/>
      <c r="B73" s="88" t="s">
        <v>38</v>
      </c>
      <c r="C73" s="34">
        <v>978000</v>
      </c>
      <c r="D73" s="34">
        <f>100003+292665</f>
        <v>392668</v>
      </c>
      <c r="E73" s="34"/>
      <c r="F73" s="34"/>
      <c r="G73" s="89"/>
      <c r="H73" s="34"/>
      <c r="I73" s="34"/>
      <c r="J73" s="34"/>
      <c r="K73" s="83"/>
      <c r="L73" s="281">
        <f>J73/C73</f>
        <v>0</v>
      </c>
    </row>
    <row r="74" spans="1:12" ht="12.75">
      <c r="A74" s="436"/>
      <c r="B74" s="88" t="s">
        <v>63</v>
      </c>
      <c r="C74" s="34">
        <v>9042200</v>
      </c>
      <c r="D74" s="34">
        <f>1299676+3799024</f>
        <v>5098700</v>
      </c>
      <c r="E74" s="34">
        <v>1437004</v>
      </c>
      <c r="F74" s="34">
        <v>1437005</v>
      </c>
      <c r="G74" s="89">
        <v>1437004</v>
      </c>
      <c r="H74" s="34">
        <f>6866657+500+840550</f>
        <v>7707707</v>
      </c>
      <c r="I74" s="34">
        <v>7707707</v>
      </c>
      <c r="J74" s="34">
        <v>35781</v>
      </c>
      <c r="K74" s="83">
        <f>H74-J74</f>
        <v>7671926</v>
      </c>
      <c r="L74" s="281">
        <f>J74/C74</f>
        <v>0.003957112207206211</v>
      </c>
    </row>
    <row r="75" spans="1:12" ht="12.75">
      <c r="A75" s="452" t="s">
        <v>261</v>
      </c>
      <c r="B75" s="70"/>
      <c r="C75" s="47">
        <f>C76+C77+C78</f>
        <v>590000</v>
      </c>
      <c r="D75" s="47">
        <f aca="true" t="shared" si="17" ref="D75:K75">D76+D77+D78</f>
        <v>500000</v>
      </c>
      <c r="E75" s="47">
        <f t="shared" si="17"/>
        <v>0</v>
      </c>
      <c r="F75" s="47">
        <f t="shared" si="17"/>
        <v>0</v>
      </c>
      <c r="G75" s="47">
        <f t="shared" si="17"/>
        <v>0</v>
      </c>
      <c r="H75" s="47">
        <f t="shared" si="17"/>
        <v>100</v>
      </c>
      <c r="I75" s="47">
        <f t="shared" si="17"/>
        <v>100</v>
      </c>
      <c r="J75" s="47">
        <f t="shared" si="17"/>
        <v>100</v>
      </c>
      <c r="K75" s="47">
        <f t="shared" si="17"/>
        <v>0</v>
      </c>
      <c r="L75" s="255">
        <f>J75/C75</f>
        <v>0.00016949152542372882</v>
      </c>
    </row>
    <row r="76" spans="1:12" ht="12.75">
      <c r="A76" s="453"/>
      <c r="B76" s="71" t="s">
        <v>37</v>
      </c>
      <c r="C76" s="9">
        <v>0</v>
      </c>
      <c r="D76" s="9"/>
      <c r="E76" s="9"/>
      <c r="F76" s="9"/>
      <c r="G76" s="79"/>
      <c r="H76" s="9"/>
      <c r="I76" s="9"/>
      <c r="J76" s="9"/>
      <c r="K76" s="19">
        <f>H76-J76</f>
        <v>0</v>
      </c>
      <c r="L76" s="253"/>
    </row>
    <row r="77" spans="1:12" ht="12.75">
      <c r="A77" s="453"/>
      <c r="B77" s="71" t="s">
        <v>38</v>
      </c>
      <c r="C77" s="9">
        <v>0</v>
      </c>
      <c r="D77" s="9"/>
      <c r="E77" s="9"/>
      <c r="F77" s="9"/>
      <c r="G77" s="79"/>
      <c r="H77" s="9"/>
      <c r="I77" s="9"/>
      <c r="J77" s="9"/>
      <c r="K77" s="19">
        <f>H77-J77</f>
        <v>0</v>
      </c>
      <c r="L77" s="253"/>
    </row>
    <row r="78" spans="1:12" ht="12.75">
      <c r="A78" s="454"/>
      <c r="B78" s="71" t="s">
        <v>63</v>
      </c>
      <c r="C78" s="9">
        <v>590000</v>
      </c>
      <c r="D78" s="9">
        <v>500000</v>
      </c>
      <c r="E78" s="9"/>
      <c r="F78" s="9"/>
      <c r="G78" s="79"/>
      <c r="H78" s="9">
        <v>100</v>
      </c>
      <c r="I78" s="9">
        <v>100</v>
      </c>
      <c r="J78" s="9">
        <v>100</v>
      </c>
      <c r="K78" s="19">
        <f>H78-J78</f>
        <v>0</v>
      </c>
      <c r="L78" s="253">
        <f>J78/C78</f>
        <v>0.00016949152542372882</v>
      </c>
    </row>
    <row r="79" spans="1:12" ht="13.5" thickBot="1">
      <c r="A79" s="3" t="s">
        <v>192</v>
      </c>
      <c r="B79" s="72"/>
      <c r="C79" s="63"/>
      <c r="D79" s="63"/>
      <c r="E79" s="63"/>
      <c r="F79" s="63"/>
      <c r="G79" s="91"/>
      <c r="H79" s="63"/>
      <c r="I79" s="63"/>
      <c r="J79" s="63"/>
      <c r="K79" s="92">
        <f>H79-J79</f>
        <v>0</v>
      </c>
      <c r="L79" s="256"/>
    </row>
    <row r="80" spans="1:12" ht="13.5" thickBot="1">
      <c r="A80" s="446" t="s">
        <v>127</v>
      </c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8"/>
    </row>
    <row r="81" spans="1:12" ht="12.75">
      <c r="A81" s="243" t="s">
        <v>41</v>
      </c>
      <c r="B81" s="244" t="s">
        <v>38</v>
      </c>
      <c r="C81" s="96">
        <f>C73</f>
        <v>978000</v>
      </c>
      <c r="D81" s="96">
        <f aca="true" t="shared" si="18" ref="D81:K81">D73</f>
        <v>392668</v>
      </c>
      <c r="E81" s="96">
        <f t="shared" si="18"/>
        <v>0</v>
      </c>
      <c r="F81" s="96">
        <f t="shared" si="18"/>
        <v>0</v>
      </c>
      <c r="G81" s="96">
        <f t="shared" si="18"/>
        <v>0</v>
      </c>
      <c r="H81" s="96">
        <f t="shared" si="18"/>
        <v>0</v>
      </c>
      <c r="I81" s="96">
        <f t="shared" si="18"/>
        <v>0</v>
      </c>
      <c r="J81" s="96">
        <f t="shared" si="18"/>
        <v>0</v>
      </c>
      <c r="K81" s="96">
        <f t="shared" si="18"/>
        <v>0</v>
      </c>
      <c r="L81" s="259">
        <f>L76</f>
        <v>0</v>
      </c>
    </row>
    <row r="82" spans="1:12" ht="12.75">
      <c r="A82" s="33" t="s">
        <v>55</v>
      </c>
      <c r="B82" s="44" t="s">
        <v>37</v>
      </c>
      <c r="C82" s="10">
        <f>C76</f>
        <v>0</v>
      </c>
      <c r="D82" s="10">
        <f aca="true" t="shared" si="19" ref="D82:K82">D76</f>
        <v>0</v>
      </c>
      <c r="E82" s="10">
        <f t="shared" si="19"/>
        <v>0</v>
      </c>
      <c r="F82" s="10">
        <f t="shared" si="19"/>
        <v>0</v>
      </c>
      <c r="G82" s="10">
        <f t="shared" si="19"/>
        <v>0</v>
      </c>
      <c r="H82" s="10">
        <f t="shared" si="19"/>
        <v>0</v>
      </c>
      <c r="I82" s="10">
        <f t="shared" si="19"/>
        <v>0</v>
      </c>
      <c r="J82" s="10">
        <f t="shared" si="19"/>
        <v>0</v>
      </c>
      <c r="K82" s="59">
        <f t="shared" si="19"/>
        <v>0</v>
      </c>
      <c r="L82" s="259">
        <f>L77</f>
        <v>0</v>
      </c>
    </row>
    <row r="83" spans="1:12" ht="13.5" thickBot="1">
      <c r="A83" s="13" t="s">
        <v>137</v>
      </c>
      <c r="B83" s="73" t="s">
        <v>63</v>
      </c>
      <c r="C83" s="14">
        <f>C78+C74</f>
        <v>9632200</v>
      </c>
      <c r="D83" s="14">
        <f aca="true" t="shared" si="20" ref="D83:K83">D78+D74</f>
        <v>5598700</v>
      </c>
      <c r="E83" s="14">
        <f t="shared" si="20"/>
        <v>1437004</v>
      </c>
      <c r="F83" s="14">
        <f t="shared" si="20"/>
        <v>1437005</v>
      </c>
      <c r="G83" s="14">
        <f t="shared" si="20"/>
        <v>1437004</v>
      </c>
      <c r="H83" s="14">
        <f t="shared" si="20"/>
        <v>7707807</v>
      </c>
      <c r="I83" s="14">
        <f t="shared" si="20"/>
        <v>7707807</v>
      </c>
      <c r="J83" s="14">
        <f t="shared" si="20"/>
        <v>35881</v>
      </c>
      <c r="K83" s="14">
        <f t="shared" si="20"/>
        <v>7671926</v>
      </c>
      <c r="L83" s="263">
        <f>L78</f>
        <v>0.00016949152542372882</v>
      </c>
    </row>
    <row r="84" spans="1:12" ht="24.75" customHeight="1" thickBot="1">
      <c r="A84" s="333" t="s">
        <v>138</v>
      </c>
      <c r="B84" s="87" t="s">
        <v>168</v>
      </c>
      <c r="C84" s="334">
        <f aca="true" t="shared" si="21" ref="C84:K84">C85+C86+C88+C90+C91</f>
        <v>1702704</v>
      </c>
      <c r="D84" s="50">
        <f t="shared" si="21"/>
        <v>377204</v>
      </c>
      <c r="E84" s="50">
        <f t="shared" si="21"/>
        <v>0</v>
      </c>
      <c r="F84" s="50">
        <f t="shared" si="21"/>
        <v>0</v>
      </c>
      <c r="G84" s="50">
        <f t="shared" si="21"/>
        <v>0</v>
      </c>
      <c r="H84" s="50">
        <f t="shared" si="21"/>
        <v>1563634</v>
      </c>
      <c r="I84" s="50">
        <f t="shared" si="21"/>
        <v>1563634</v>
      </c>
      <c r="J84" s="50">
        <f>J87+J90</f>
        <v>166779</v>
      </c>
      <c r="K84" s="51">
        <f t="shared" si="21"/>
        <v>1563634</v>
      </c>
      <c r="L84" s="331">
        <f>J84/C84</f>
        <v>0.0979494968003834</v>
      </c>
    </row>
    <row r="85" spans="1:12" ht="12.75">
      <c r="A85" s="327" t="s">
        <v>189</v>
      </c>
      <c r="B85" s="90"/>
      <c r="C85" s="64">
        <f>D85+E85+F85+G85</f>
        <v>0</v>
      </c>
      <c r="D85" s="64"/>
      <c r="E85" s="64"/>
      <c r="F85" s="64"/>
      <c r="G85" s="328"/>
      <c r="H85" s="64"/>
      <c r="I85" s="64"/>
      <c r="J85" s="64"/>
      <c r="K85" s="329">
        <f>H85-J85</f>
        <v>0</v>
      </c>
      <c r="L85" s="330"/>
    </row>
    <row r="86" spans="1:12" ht="12.75">
      <c r="A86" s="1" t="s">
        <v>190</v>
      </c>
      <c r="B86" s="54"/>
      <c r="C86" s="9">
        <f>D86+E86+F86+G86</f>
        <v>0</v>
      </c>
      <c r="D86" s="9"/>
      <c r="E86" s="9"/>
      <c r="F86" s="9"/>
      <c r="G86" s="79"/>
      <c r="H86" s="9"/>
      <c r="I86" s="9"/>
      <c r="J86" s="9"/>
      <c r="K86" s="19">
        <f>H86-J86</f>
        <v>0</v>
      </c>
      <c r="L86" s="253"/>
    </row>
    <row r="87" spans="1:12" ht="12.75">
      <c r="A87" s="434" t="s">
        <v>258</v>
      </c>
      <c r="B87" s="279" t="s">
        <v>168</v>
      </c>
      <c r="C87" s="268">
        <f>C88+C89</f>
        <v>2136500</v>
      </c>
      <c r="D87" s="268">
        <f aca="true" t="shared" si="22" ref="D87:K87">D88+D89</f>
        <v>811000</v>
      </c>
      <c r="E87" s="268">
        <f t="shared" si="22"/>
        <v>0</v>
      </c>
      <c r="F87" s="268">
        <f t="shared" si="22"/>
        <v>0</v>
      </c>
      <c r="G87" s="268">
        <f t="shared" si="22"/>
        <v>0</v>
      </c>
      <c r="H87" s="268">
        <f t="shared" si="22"/>
        <v>2071434</v>
      </c>
      <c r="I87" s="268">
        <f t="shared" si="22"/>
        <v>2071434</v>
      </c>
      <c r="J87" s="268">
        <f t="shared" si="22"/>
        <v>166779</v>
      </c>
      <c r="K87" s="268">
        <f t="shared" si="22"/>
        <v>1904655</v>
      </c>
      <c r="L87" s="280">
        <f>J87/C87</f>
        <v>0.07806178329042827</v>
      </c>
    </row>
    <row r="88" spans="1:12" ht="12.75">
      <c r="A88" s="435"/>
      <c r="B88" s="52" t="s">
        <v>223</v>
      </c>
      <c r="C88" s="10">
        <v>1628700</v>
      </c>
      <c r="D88" s="10">
        <f>5000+298200</f>
        <v>303200</v>
      </c>
      <c r="E88" s="10"/>
      <c r="F88" s="10"/>
      <c r="G88" s="82"/>
      <c r="H88" s="10">
        <v>1563634</v>
      </c>
      <c r="I88" s="10">
        <v>1563634</v>
      </c>
      <c r="J88" s="10"/>
      <c r="K88" s="59">
        <f>H88-J88</f>
        <v>1563634</v>
      </c>
      <c r="L88" s="280">
        <f>J88/C88</f>
        <v>0</v>
      </c>
    </row>
    <row r="89" spans="1:12" ht="12.75">
      <c r="A89" s="436"/>
      <c r="B89" s="52" t="s">
        <v>260</v>
      </c>
      <c r="C89" s="10">
        <v>507800</v>
      </c>
      <c r="D89" s="10">
        <f>250000+257800</f>
        <v>507800</v>
      </c>
      <c r="E89" s="10"/>
      <c r="F89" s="10"/>
      <c r="G89" s="82"/>
      <c r="H89" s="10">
        <v>507800</v>
      </c>
      <c r="I89" s="10">
        <v>507800</v>
      </c>
      <c r="J89" s="10">
        <v>166779</v>
      </c>
      <c r="K89" s="59">
        <f>H89-J89</f>
        <v>341021</v>
      </c>
      <c r="L89" s="280">
        <f>J89/C89</f>
        <v>0.3284344230011816</v>
      </c>
    </row>
    <row r="90" spans="1:12" ht="12.75">
      <c r="A90" s="46" t="s">
        <v>191</v>
      </c>
      <c r="B90" s="67" t="s">
        <v>223</v>
      </c>
      <c r="C90" s="47">
        <v>74004</v>
      </c>
      <c r="D90" s="47">
        <v>74004</v>
      </c>
      <c r="E90" s="47"/>
      <c r="F90" s="47"/>
      <c r="G90" s="80"/>
      <c r="H90" s="47"/>
      <c r="I90" s="47"/>
      <c r="J90" s="47"/>
      <c r="K90" s="61">
        <f>H90-J90</f>
        <v>0</v>
      </c>
      <c r="L90" s="255">
        <f>J90/C90</f>
        <v>0</v>
      </c>
    </row>
    <row r="91" spans="1:12" ht="12.75">
      <c r="A91" s="3" t="s">
        <v>192</v>
      </c>
      <c r="B91" s="68"/>
      <c r="C91" s="63"/>
      <c r="D91" s="63"/>
      <c r="E91" s="63"/>
      <c r="F91" s="63"/>
      <c r="G91" s="91"/>
      <c r="H91" s="63"/>
      <c r="I91" s="63"/>
      <c r="J91" s="63"/>
      <c r="K91" s="92">
        <f>H91-J91</f>
        <v>0</v>
      </c>
      <c r="L91" s="256"/>
    </row>
    <row r="92" spans="1:12" ht="12.75">
      <c r="A92" s="441" t="s">
        <v>127</v>
      </c>
      <c r="B92" s="442"/>
      <c r="C92" s="442"/>
      <c r="D92" s="442"/>
      <c r="E92" s="442"/>
      <c r="F92" s="442"/>
      <c r="G92" s="442"/>
      <c r="H92" s="442"/>
      <c r="I92" s="442"/>
      <c r="J92" s="442"/>
      <c r="K92" s="442"/>
      <c r="L92" s="443"/>
    </row>
    <row r="93" spans="1:12" ht="13.5" thickBot="1">
      <c r="A93" s="245" t="s">
        <v>259</v>
      </c>
      <c r="B93" s="277" t="s">
        <v>260</v>
      </c>
      <c r="C93" s="278">
        <f>C89</f>
        <v>507800</v>
      </c>
      <c r="D93" s="278">
        <f aca="true" t="shared" si="23" ref="D93:J93">D89</f>
        <v>507800</v>
      </c>
      <c r="E93" s="278">
        <f t="shared" si="23"/>
        <v>0</v>
      </c>
      <c r="F93" s="278">
        <f t="shared" si="23"/>
        <v>0</v>
      </c>
      <c r="G93" s="278">
        <f t="shared" si="23"/>
        <v>0</v>
      </c>
      <c r="H93" s="278">
        <f t="shared" si="23"/>
        <v>507800</v>
      </c>
      <c r="I93" s="278">
        <f t="shared" si="23"/>
        <v>507800</v>
      </c>
      <c r="J93" s="278">
        <f t="shared" si="23"/>
        <v>166779</v>
      </c>
      <c r="K93" s="276"/>
      <c r="L93" s="280">
        <f>L89+L86</f>
        <v>0.3284344230011816</v>
      </c>
    </row>
    <row r="94" spans="1:12" ht="13.5" thickBot="1">
      <c r="A94" s="335" t="s">
        <v>139</v>
      </c>
      <c r="B94" s="42" t="s">
        <v>223</v>
      </c>
      <c r="C94" s="94">
        <f aca="true" t="shared" si="24" ref="C94:K94">C90+C88</f>
        <v>1702704</v>
      </c>
      <c r="D94" s="94">
        <f t="shared" si="24"/>
        <v>377204</v>
      </c>
      <c r="E94" s="94">
        <f t="shared" si="24"/>
        <v>0</v>
      </c>
      <c r="F94" s="94">
        <f t="shared" si="24"/>
        <v>0</v>
      </c>
      <c r="G94" s="94">
        <f t="shared" si="24"/>
        <v>0</v>
      </c>
      <c r="H94" s="94">
        <f t="shared" si="24"/>
        <v>1563634</v>
      </c>
      <c r="I94" s="94">
        <f t="shared" si="24"/>
        <v>1563634</v>
      </c>
      <c r="J94" s="94">
        <f t="shared" si="24"/>
        <v>0</v>
      </c>
      <c r="K94" s="102">
        <f t="shared" si="24"/>
        <v>1563634</v>
      </c>
      <c r="L94" s="258">
        <f>L90+L88</f>
        <v>0</v>
      </c>
    </row>
    <row r="95" spans="1:12" ht="24.75" customHeight="1" thickBot="1">
      <c r="A95" s="333" t="s">
        <v>140</v>
      </c>
      <c r="B95" s="87" t="s">
        <v>168</v>
      </c>
      <c r="C95" s="334">
        <f>C98+C102</f>
        <v>20961450</v>
      </c>
      <c r="D95" s="50">
        <f aca="true" t="shared" si="25" ref="D95:K95">D98+D102</f>
        <v>11269405</v>
      </c>
      <c r="E95" s="50">
        <f t="shared" si="25"/>
        <v>500000</v>
      </c>
      <c r="F95" s="50">
        <f t="shared" si="25"/>
        <v>600000</v>
      </c>
      <c r="G95" s="50">
        <f t="shared" si="25"/>
        <v>306000</v>
      </c>
      <c r="H95" s="50">
        <f t="shared" si="25"/>
        <v>5275052</v>
      </c>
      <c r="I95" s="50">
        <f t="shared" si="25"/>
        <v>5275052</v>
      </c>
      <c r="J95" s="50">
        <f t="shared" si="25"/>
        <v>2154602</v>
      </c>
      <c r="K95" s="51">
        <f t="shared" si="25"/>
        <v>3120450</v>
      </c>
      <c r="L95" s="331">
        <f>J95/C95</f>
        <v>0.10278878608111557</v>
      </c>
    </row>
    <row r="96" spans="1:12" ht="12.75">
      <c r="A96" s="327" t="s">
        <v>189</v>
      </c>
      <c r="B96" s="77"/>
      <c r="C96" s="64">
        <f>D96+E96+F96+G96</f>
        <v>0</v>
      </c>
      <c r="D96" s="64"/>
      <c r="E96" s="64"/>
      <c r="F96" s="64"/>
      <c r="G96" s="328"/>
      <c r="H96" s="64"/>
      <c r="I96" s="64"/>
      <c r="J96" s="64"/>
      <c r="K96" s="329">
        <f>H96-J96</f>
        <v>0</v>
      </c>
      <c r="L96" s="336"/>
    </row>
    <row r="97" spans="1:12" ht="12.75">
      <c r="A97" s="1" t="s">
        <v>190</v>
      </c>
      <c r="B97" s="71"/>
      <c r="C97" s="9"/>
      <c r="D97" s="9"/>
      <c r="E97" s="9"/>
      <c r="F97" s="9"/>
      <c r="G97" s="79"/>
      <c r="H97" s="9"/>
      <c r="I97" s="9"/>
      <c r="J97" s="9"/>
      <c r="K97" s="19">
        <f>H97-J97</f>
        <v>0</v>
      </c>
      <c r="L97" s="262"/>
    </row>
    <row r="98" spans="1:12" ht="12.75">
      <c r="A98" s="434" t="s">
        <v>258</v>
      </c>
      <c r="B98" s="44" t="s">
        <v>222</v>
      </c>
      <c r="C98" s="10">
        <f>C99+C100+C101</f>
        <v>8536600</v>
      </c>
      <c r="D98" s="10">
        <f aca="true" t="shared" si="26" ref="D98:K98">D99+D100+D101</f>
        <v>3234082</v>
      </c>
      <c r="E98" s="10">
        <f t="shared" si="26"/>
        <v>0</v>
      </c>
      <c r="F98" s="10">
        <f t="shared" si="26"/>
        <v>0</v>
      </c>
      <c r="G98" s="10">
        <f t="shared" si="26"/>
        <v>0</v>
      </c>
      <c r="H98" s="10">
        <f t="shared" si="26"/>
        <v>2242994</v>
      </c>
      <c r="I98" s="10">
        <f t="shared" si="26"/>
        <v>2242994</v>
      </c>
      <c r="J98" s="10">
        <f t="shared" si="26"/>
        <v>48100</v>
      </c>
      <c r="K98" s="59">
        <f t="shared" si="26"/>
        <v>2194894</v>
      </c>
      <c r="L98" s="288">
        <f aca="true" t="shared" si="27" ref="L98:L103">J98/C98</f>
        <v>0.005634561769322681</v>
      </c>
    </row>
    <row r="99" spans="1:12" ht="12.75" hidden="1">
      <c r="A99" s="435"/>
      <c r="B99" s="74" t="s">
        <v>89</v>
      </c>
      <c r="C99" s="9"/>
      <c r="D99" s="9"/>
      <c r="E99" s="9"/>
      <c r="F99" s="9"/>
      <c r="G99" s="79"/>
      <c r="H99" s="9"/>
      <c r="I99" s="9"/>
      <c r="J99" s="9"/>
      <c r="K99" s="19">
        <f>H99-J99</f>
        <v>0</v>
      </c>
      <c r="L99" s="289" t="e">
        <f t="shared" si="27"/>
        <v>#DIV/0!</v>
      </c>
    </row>
    <row r="100" spans="1:12" ht="12.75">
      <c r="A100" s="435"/>
      <c r="B100" s="74" t="s">
        <v>106</v>
      </c>
      <c r="C100" s="9">
        <v>6115800</v>
      </c>
      <c r="D100" s="9">
        <f>7400+2165882</f>
        <v>2173282</v>
      </c>
      <c r="E100" s="9"/>
      <c r="F100" s="9"/>
      <c r="G100" s="79"/>
      <c r="H100" s="9">
        <f>3677+3677</f>
        <v>7354</v>
      </c>
      <c r="I100" s="9">
        <v>7354</v>
      </c>
      <c r="J100" s="9"/>
      <c r="K100" s="19">
        <f>H100-J100</f>
        <v>7354</v>
      </c>
      <c r="L100" s="262">
        <f t="shared" si="27"/>
        <v>0</v>
      </c>
    </row>
    <row r="101" spans="1:12" ht="13.5" thickBot="1">
      <c r="A101" s="435"/>
      <c r="B101" s="74" t="s">
        <v>83</v>
      </c>
      <c r="C101" s="9">
        <v>2420800</v>
      </c>
      <c r="D101" s="9">
        <f>115800+945000</f>
        <v>1060800</v>
      </c>
      <c r="E101" s="9"/>
      <c r="F101" s="9"/>
      <c r="G101" s="79"/>
      <c r="H101" s="9">
        <f>967375+1268265</f>
        <v>2235640</v>
      </c>
      <c r="I101" s="9">
        <v>2235640</v>
      </c>
      <c r="J101" s="9">
        <v>48100</v>
      </c>
      <c r="K101" s="19">
        <f>H101-J101</f>
        <v>2187540</v>
      </c>
      <c r="L101" s="262">
        <f t="shared" si="27"/>
        <v>0.0198694646397885</v>
      </c>
    </row>
    <row r="102" spans="1:12" ht="12.75">
      <c r="A102" s="462" t="s">
        <v>141</v>
      </c>
      <c r="B102" s="273" t="s">
        <v>222</v>
      </c>
      <c r="C102" s="15">
        <f>C103+C104+C105+C106</f>
        <v>12424850</v>
      </c>
      <c r="D102" s="15">
        <f aca="true" t="shared" si="28" ref="D102:K102">D103+D104+D105+D106</f>
        <v>8035323</v>
      </c>
      <c r="E102" s="15">
        <f t="shared" si="28"/>
        <v>500000</v>
      </c>
      <c r="F102" s="15">
        <f t="shared" si="28"/>
        <v>600000</v>
      </c>
      <c r="G102" s="15">
        <f t="shared" si="28"/>
        <v>306000</v>
      </c>
      <c r="H102" s="15">
        <f t="shared" si="28"/>
        <v>3032058</v>
      </c>
      <c r="I102" s="15">
        <f t="shared" si="28"/>
        <v>3032058</v>
      </c>
      <c r="J102" s="15">
        <f t="shared" si="28"/>
        <v>2106502</v>
      </c>
      <c r="K102" s="15">
        <f t="shared" si="28"/>
        <v>925556</v>
      </c>
      <c r="L102" s="289">
        <f t="shared" si="27"/>
        <v>0.1695394310595299</v>
      </c>
    </row>
    <row r="103" spans="1:12" ht="12.75">
      <c r="A103" s="463"/>
      <c r="B103" s="226" t="s">
        <v>89</v>
      </c>
      <c r="C103" s="35">
        <v>3022341</v>
      </c>
      <c r="D103" s="35">
        <v>2000000</v>
      </c>
      <c r="E103" s="35"/>
      <c r="F103" s="35"/>
      <c r="G103" s="36"/>
      <c r="H103" s="35">
        <v>253707</v>
      </c>
      <c r="I103" s="35">
        <v>253707</v>
      </c>
      <c r="J103" s="35">
        <v>253707</v>
      </c>
      <c r="K103" s="19">
        <f>H103-J103</f>
        <v>0</v>
      </c>
      <c r="L103" s="253">
        <f t="shared" si="27"/>
        <v>0.08394387000010918</v>
      </c>
    </row>
    <row r="104" spans="1:12" ht="12.75">
      <c r="A104" s="463"/>
      <c r="B104" s="274" t="s">
        <v>106</v>
      </c>
      <c r="C104" s="9">
        <v>0</v>
      </c>
      <c r="D104" s="9">
        <v>0</v>
      </c>
      <c r="E104" s="9"/>
      <c r="F104" s="9"/>
      <c r="G104" s="79"/>
      <c r="H104" s="34"/>
      <c r="I104" s="34"/>
      <c r="J104" s="9"/>
      <c r="K104" s="19">
        <f>H104-J104</f>
        <v>0</v>
      </c>
      <c r="L104" s="253"/>
    </row>
    <row r="105" spans="1:12" ht="12.75">
      <c r="A105" s="463"/>
      <c r="B105" s="274" t="s">
        <v>82</v>
      </c>
      <c r="C105" s="9">
        <v>2177823</v>
      </c>
      <c r="D105" s="9">
        <v>2010323</v>
      </c>
      <c r="E105" s="9"/>
      <c r="F105" s="9"/>
      <c r="G105" s="79"/>
      <c r="H105" s="9">
        <v>1503890</v>
      </c>
      <c r="I105" s="9">
        <v>1503890</v>
      </c>
      <c r="J105" s="9">
        <v>1503890</v>
      </c>
      <c r="K105" s="19">
        <f>H105-J105</f>
        <v>0</v>
      </c>
      <c r="L105" s="253">
        <f>J105/C105</f>
        <v>0.6905473952658228</v>
      </c>
    </row>
    <row r="106" spans="1:12" ht="13.5" thickBot="1">
      <c r="A106" s="464"/>
      <c r="B106" s="274" t="s">
        <v>83</v>
      </c>
      <c r="C106" s="9">
        <v>7224686</v>
      </c>
      <c r="D106" s="9">
        <v>4025000</v>
      </c>
      <c r="E106" s="9">
        <v>500000</v>
      </c>
      <c r="F106" s="9">
        <v>600000</v>
      </c>
      <c r="G106" s="79">
        <v>306000</v>
      </c>
      <c r="H106" s="9">
        <v>1274461</v>
      </c>
      <c r="I106" s="9">
        <v>1274461</v>
      </c>
      <c r="J106" s="9">
        <f>193768+465+154672</f>
        <v>348905</v>
      </c>
      <c r="K106" s="19">
        <f>H106-J106</f>
        <v>925556</v>
      </c>
      <c r="L106" s="253">
        <f>J106/C106</f>
        <v>0.04829344832425935</v>
      </c>
    </row>
    <row r="107" spans="1:12" ht="13.5" thickBot="1">
      <c r="A107" s="275" t="s">
        <v>187</v>
      </c>
      <c r="B107" s="72"/>
      <c r="C107" s="63"/>
      <c r="D107" s="63"/>
      <c r="E107" s="63"/>
      <c r="F107" s="63"/>
      <c r="G107" s="91"/>
      <c r="H107" s="246"/>
      <c r="I107" s="246"/>
      <c r="J107" s="246"/>
      <c r="K107" s="92"/>
      <c r="L107" s="92"/>
    </row>
    <row r="108" spans="1:12" ht="13.5" thickBot="1">
      <c r="A108" s="438" t="s">
        <v>127</v>
      </c>
      <c r="B108" s="439"/>
      <c r="C108" s="439"/>
      <c r="D108" s="439"/>
      <c r="E108" s="439"/>
      <c r="F108" s="439"/>
      <c r="G108" s="439"/>
      <c r="H108" s="439"/>
      <c r="I108" s="439"/>
      <c r="J108" s="439"/>
      <c r="K108" s="439"/>
      <c r="L108" s="440"/>
    </row>
    <row r="109" spans="1:12" ht="12.75">
      <c r="A109" s="247" t="s">
        <v>86</v>
      </c>
      <c r="B109" s="84" t="s">
        <v>89</v>
      </c>
      <c r="C109" s="96">
        <f>C103</f>
        <v>3022341</v>
      </c>
      <c r="D109" s="96">
        <f aca="true" t="shared" si="29" ref="D109:K109">D103</f>
        <v>2000000</v>
      </c>
      <c r="E109" s="96">
        <f t="shared" si="29"/>
        <v>0</v>
      </c>
      <c r="F109" s="96">
        <f t="shared" si="29"/>
        <v>0</v>
      </c>
      <c r="G109" s="96">
        <f t="shared" si="29"/>
        <v>0</v>
      </c>
      <c r="H109" s="96">
        <f t="shared" si="29"/>
        <v>253707</v>
      </c>
      <c r="I109" s="96">
        <f t="shared" si="29"/>
        <v>253707</v>
      </c>
      <c r="J109" s="96">
        <f t="shared" si="29"/>
        <v>253707</v>
      </c>
      <c r="K109" s="96">
        <f t="shared" si="29"/>
        <v>0</v>
      </c>
      <c r="L109" s="254">
        <f>J109/C109</f>
        <v>0.08394387000010918</v>
      </c>
    </row>
    <row r="110" spans="1:12" ht="12.75">
      <c r="A110" s="5" t="s">
        <v>85</v>
      </c>
      <c r="B110" s="75" t="s">
        <v>106</v>
      </c>
      <c r="C110" s="10">
        <f>C104+C100</f>
        <v>6115800</v>
      </c>
      <c r="D110" s="10">
        <f aca="true" t="shared" si="30" ref="D110:K110">D104+D100</f>
        <v>2173282</v>
      </c>
      <c r="E110" s="10">
        <f t="shared" si="30"/>
        <v>0</v>
      </c>
      <c r="F110" s="10">
        <f t="shared" si="30"/>
        <v>0</v>
      </c>
      <c r="G110" s="10">
        <f t="shared" si="30"/>
        <v>0</v>
      </c>
      <c r="H110" s="10">
        <f t="shared" si="30"/>
        <v>7354</v>
      </c>
      <c r="I110" s="10">
        <f t="shared" si="30"/>
        <v>7354</v>
      </c>
      <c r="J110" s="10">
        <f t="shared" si="30"/>
        <v>0</v>
      </c>
      <c r="K110" s="59">
        <f t="shared" si="30"/>
        <v>7354</v>
      </c>
      <c r="L110" s="254">
        <f>J110/C110</f>
        <v>0</v>
      </c>
    </row>
    <row r="111" spans="1:12" ht="12.75">
      <c r="A111" s="5" t="s">
        <v>87</v>
      </c>
      <c r="B111" s="75" t="s">
        <v>82</v>
      </c>
      <c r="C111" s="10">
        <f>C105</f>
        <v>2177823</v>
      </c>
      <c r="D111" s="10">
        <f aca="true" t="shared" si="31" ref="D111:J111">D105</f>
        <v>2010323</v>
      </c>
      <c r="E111" s="10">
        <f t="shared" si="31"/>
        <v>0</v>
      </c>
      <c r="F111" s="10">
        <f t="shared" si="31"/>
        <v>0</v>
      </c>
      <c r="G111" s="10">
        <f t="shared" si="31"/>
        <v>0</v>
      </c>
      <c r="H111" s="10">
        <f t="shared" si="31"/>
        <v>1503890</v>
      </c>
      <c r="I111" s="10">
        <f t="shared" si="31"/>
        <v>1503890</v>
      </c>
      <c r="J111" s="10">
        <f t="shared" si="31"/>
        <v>1503890</v>
      </c>
      <c r="K111" s="59">
        <f>H111-J111</f>
        <v>0</v>
      </c>
      <c r="L111" s="259">
        <f>J111/C111</f>
        <v>0.6905473952658228</v>
      </c>
    </row>
    <row r="112" spans="1:12" ht="12.75">
      <c r="A112" s="62" t="s">
        <v>142</v>
      </c>
      <c r="B112" s="75" t="s">
        <v>83</v>
      </c>
      <c r="C112" s="10">
        <f>C106+C101</f>
        <v>9645486</v>
      </c>
      <c r="D112" s="10">
        <f aca="true" t="shared" si="32" ref="D112:K112">D106+D101</f>
        <v>5085800</v>
      </c>
      <c r="E112" s="10">
        <f t="shared" si="32"/>
        <v>500000</v>
      </c>
      <c r="F112" s="10">
        <f t="shared" si="32"/>
        <v>600000</v>
      </c>
      <c r="G112" s="10">
        <f t="shared" si="32"/>
        <v>306000</v>
      </c>
      <c r="H112" s="10">
        <f t="shared" si="32"/>
        <v>3510101</v>
      </c>
      <c r="I112" s="10">
        <f t="shared" si="32"/>
        <v>3510101</v>
      </c>
      <c r="J112" s="10">
        <f t="shared" si="32"/>
        <v>397005</v>
      </c>
      <c r="K112" s="59">
        <f t="shared" si="32"/>
        <v>3113096</v>
      </c>
      <c r="L112" s="259">
        <f>L106+L101</f>
        <v>0.06816291296404785</v>
      </c>
    </row>
    <row r="113" spans="1:12" ht="13.5" thickBot="1">
      <c r="A113" s="45" t="s">
        <v>192</v>
      </c>
      <c r="B113" s="84"/>
      <c r="C113" s="14"/>
      <c r="D113" s="14"/>
      <c r="E113" s="14"/>
      <c r="F113" s="14"/>
      <c r="G113" s="14"/>
      <c r="H113" s="85"/>
      <c r="I113" s="85"/>
      <c r="J113" s="85"/>
      <c r="K113" s="60"/>
      <c r="L113" s="263"/>
    </row>
    <row r="114" spans="1:12" ht="12.75" hidden="1">
      <c r="A114" s="17" t="s">
        <v>195</v>
      </c>
      <c r="B114" s="24" t="s">
        <v>168</v>
      </c>
      <c r="C114" s="28">
        <f>C115</f>
        <v>0</v>
      </c>
      <c r="D114" s="28">
        <f aca="true" t="shared" si="33" ref="D114:K114">D115</f>
        <v>0</v>
      </c>
      <c r="E114" s="28">
        <f t="shared" si="33"/>
        <v>0</v>
      </c>
      <c r="F114" s="28">
        <f t="shared" si="33"/>
        <v>0</v>
      </c>
      <c r="G114" s="28">
        <f t="shared" si="33"/>
        <v>0</v>
      </c>
      <c r="H114" s="28">
        <f t="shared" si="33"/>
        <v>0</v>
      </c>
      <c r="I114" s="28">
        <f t="shared" si="33"/>
        <v>0</v>
      </c>
      <c r="J114" s="28">
        <f t="shared" si="33"/>
        <v>0</v>
      </c>
      <c r="K114" s="28">
        <f t="shared" si="33"/>
        <v>0</v>
      </c>
      <c r="L114" s="257" t="e">
        <f>J114/C114</f>
        <v>#DIV/0!</v>
      </c>
    </row>
    <row r="115" spans="1:12" ht="12.75" hidden="1">
      <c r="A115" s="444" t="s">
        <v>196</v>
      </c>
      <c r="B115" s="224" t="s">
        <v>222</v>
      </c>
      <c r="C115" s="225">
        <f>C116+C117</f>
        <v>0</v>
      </c>
      <c r="D115" s="225">
        <f aca="true" t="shared" si="34" ref="D115:K115">D116+D117</f>
        <v>0</v>
      </c>
      <c r="E115" s="225">
        <f t="shared" si="34"/>
        <v>0</v>
      </c>
      <c r="F115" s="225">
        <f t="shared" si="34"/>
        <v>0</v>
      </c>
      <c r="G115" s="225">
        <f t="shared" si="34"/>
        <v>0</v>
      </c>
      <c r="H115" s="225">
        <f t="shared" si="34"/>
        <v>0</v>
      </c>
      <c r="I115" s="225">
        <f t="shared" si="34"/>
        <v>0</v>
      </c>
      <c r="J115" s="225">
        <f t="shared" si="34"/>
        <v>0</v>
      </c>
      <c r="K115" s="225">
        <f t="shared" si="34"/>
        <v>0</v>
      </c>
      <c r="L115" s="290" t="e">
        <f>J115/C115</f>
        <v>#DIV/0!</v>
      </c>
    </row>
    <row r="116" spans="1:12" ht="12.75" hidden="1">
      <c r="A116" s="445"/>
      <c r="B116" s="221" t="s">
        <v>245</v>
      </c>
      <c r="C116" s="222"/>
      <c r="D116" s="222"/>
      <c r="E116" s="222"/>
      <c r="F116" s="222"/>
      <c r="G116" s="222"/>
      <c r="H116" s="222"/>
      <c r="I116" s="222"/>
      <c r="J116" s="222"/>
      <c r="K116" s="223"/>
      <c r="L116" s="264" t="e">
        <f>J116/C116</f>
        <v>#DIV/0!</v>
      </c>
    </row>
    <row r="117" spans="1:12" ht="13.5" hidden="1" thickBot="1">
      <c r="A117" s="445"/>
      <c r="B117" s="248" t="s">
        <v>221</v>
      </c>
      <c r="C117" s="249"/>
      <c r="D117" s="249"/>
      <c r="E117" s="249"/>
      <c r="F117" s="249"/>
      <c r="G117" s="249"/>
      <c r="H117" s="249"/>
      <c r="I117" s="249"/>
      <c r="J117" s="249"/>
      <c r="K117" s="250">
        <f>I117-J117</f>
        <v>0</v>
      </c>
      <c r="L117" s="265"/>
    </row>
    <row r="118" spans="1:12" ht="13.5" hidden="1" thickBot="1">
      <c r="A118" s="438" t="s">
        <v>127</v>
      </c>
      <c r="B118" s="439"/>
      <c r="C118" s="439"/>
      <c r="D118" s="439"/>
      <c r="E118" s="439"/>
      <c r="F118" s="439"/>
      <c r="G118" s="439"/>
      <c r="H118" s="439"/>
      <c r="I118" s="439"/>
      <c r="J118" s="439"/>
      <c r="K118" s="439"/>
      <c r="L118" s="440"/>
    </row>
    <row r="119" spans="1:12" ht="12.75" hidden="1">
      <c r="A119" s="291" t="s">
        <v>246</v>
      </c>
      <c r="B119" s="251" t="s">
        <v>245</v>
      </c>
      <c r="C119" s="252">
        <f>C116</f>
        <v>0</v>
      </c>
      <c r="D119" s="252">
        <f aca="true" t="shared" si="35" ref="D119:K119">D116</f>
        <v>0</v>
      </c>
      <c r="E119" s="252">
        <f t="shared" si="35"/>
        <v>0</v>
      </c>
      <c r="F119" s="252">
        <f t="shared" si="35"/>
        <v>0</v>
      </c>
      <c r="G119" s="252">
        <f t="shared" si="35"/>
        <v>0</v>
      </c>
      <c r="H119" s="252"/>
      <c r="I119" s="252"/>
      <c r="J119" s="252">
        <f t="shared" si="35"/>
        <v>0</v>
      </c>
      <c r="K119" s="252">
        <f t="shared" si="35"/>
        <v>0</v>
      </c>
      <c r="L119" s="292" t="e">
        <f>J119/C119</f>
        <v>#DIV/0!</v>
      </c>
    </row>
    <row r="120" spans="1:12" ht="12.75" hidden="1">
      <c r="A120" s="62" t="s">
        <v>220</v>
      </c>
      <c r="B120" s="75" t="s">
        <v>221</v>
      </c>
      <c r="C120" s="10">
        <f>C117</f>
        <v>0</v>
      </c>
      <c r="D120" s="10">
        <f aca="true" t="shared" si="36" ref="D120:K120">D117</f>
        <v>0</v>
      </c>
      <c r="E120" s="10">
        <f t="shared" si="36"/>
        <v>0</v>
      </c>
      <c r="F120" s="10">
        <f t="shared" si="36"/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0</v>
      </c>
      <c r="K120" s="59">
        <f t="shared" si="36"/>
        <v>0</v>
      </c>
      <c r="L120" s="59">
        <f>L117</f>
        <v>0</v>
      </c>
    </row>
    <row r="121" spans="1:12" ht="12.75" hidden="1">
      <c r="A121" s="3" t="s">
        <v>192</v>
      </c>
      <c r="B121" s="248"/>
      <c r="C121" s="249"/>
      <c r="D121" s="249"/>
      <c r="E121" s="249"/>
      <c r="F121" s="249"/>
      <c r="G121" s="249"/>
      <c r="H121" s="249"/>
      <c r="I121" s="249"/>
      <c r="J121" s="249"/>
      <c r="K121" s="250"/>
      <c r="L121" s="250"/>
    </row>
    <row r="122" spans="1:12" ht="24.75" customHeight="1" thickBot="1">
      <c r="A122" s="48" t="s">
        <v>143</v>
      </c>
      <c r="B122" s="49" t="s">
        <v>168</v>
      </c>
      <c r="C122" s="50">
        <f>C123+C125+C128</f>
        <v>69450780</v>
      </c>
      <c r="D122" s="50">
        <f aca="true" t="shared" si="37" ref="D122:K122">D123+D125+D128</f>
        <v>45740903</v>
      </c>
      <c r="E122" s="50">
        <f t="shared" si="37"/>
        <v>1200000</v>
      </c>
      <c r="F122" s="50">
        <f t="shared" si="37"/>
        <v>1354600</v>
      </c>
      <c r="G122" s="50">
        <f t="shared" si="37"/>
        <v>500000</v>
      </c>
      <c r="H122" s="50">
        <f t="shared" si="37"/>
        <v>64518693</v>
      </c>
      <c r="I122" s="50">
        <f t="shared" si="37"/>
        <v>64518693</v>
      </c>
      <c r="J122" s="50">
        <f t="shared" si="37"/>
        <v>1102534</v>
      </c>
      <c r="K122" s="50">
        <f t="shared" si="37"/>
        <v>63416159</v>
      </c>
      <c r="L122" s="375">
        <f>J122/C122</f>
        <v>0.01587504128823319</v>
      </c>
    </row>
    <row r="123" spans="1:12" ht="12.75">
      <c r="A123" s="282" t="s">
        <v>189</v>
      </c>
      <c r="B123" s="337"/>
      <c r="C123" s="283">
        <v>250000</v>
      </c>
      <c r="D123" s="283">
        <v>250000</v>
      </c>
      <c r="E123" s="283"/>
      <c r="F123" s="283"/>
      <c r="G123" s="284"/>
      <c r="H123" s="283"/>
      <c r="I123" s="283"/>
      <c r="J123" s="283"/>
      <c r="K123" s="285">
        <f>H123-J123</f>
        <v>0</v>
      </c>
      <c r="L123" s="376">
        <f>J123/C123</f>
        <v>0</v>
      </c>
    </row>
    <row r="124" spans="1:12" ht="12.75">
      <c r="A124" s="1" t="s">
        <v>190</v>
      </c>
      <c r="B124" s="71"/>
      <c r="C124" s="9">
        <f>D124+E124+F124+G124</f>
        <v>0</v>
      </c>
      <c r="D124" s="9"/>
      <c r="E124" s="9"/>
      <c r="F124" s="9"/>
      <c r="G124" s="79"/>
      <c r="H124" s="9"/>
      <c r="I124" s="9"/>
      <c r="J124" s="9"/>
      <c r="K124" s="19">
        <f>H124-J124</f>
        <v>0</v>
      </c>
      <c r="L124" s="19">
        <f>I124-K124</f>
        <v>0</v>
      </c>
    </row>
    <row r="125" spans="1:12" ht="12.75">
      <c r="A125" s="434" t="s">
        <v>258</v>
      </c>
      <c r="B125" s="271" t="s">
        <v>168</v>
      </c>
      <c r="C125" s="272">
        <f>SUM(C126:C127)</f>
        <v>26615100</v>
      </c>
      <c r="D125" s="272">
        <f aca="true" t="shared" si="38" ref="D125:K125">SUM(D126:D127)</f>
        <v>24456990</v>
      </c>
      <c r="E125" s="272">
        <f t="shared" si="38"/>
        <v>0</v>
      </c>
      <c r="F125" s="272">
        <f t="shared" si="38"/>
        <v>0</v>
      </c>
      <c r="G125" s="272">
        <f t="shared" si="38"/>
        <v>0</v>
      </c>
      <c r="H125" s="272">
        <f t="shared" si="38"/>
        <v>25576062</v>
      </c>
      <c r="I125" s="272">
        <f t="shared" si="38"/>
        <v>25576062</v>
      </c>
      <c r="J125" s="272">
        <f t="shared" si="38"/>
        <v>0</v>
      </c>
      <c r="K125" s="272">
        <f t="shared" si="38"/>
        <v>25576062</v>
      </c>
      <c r="L125" s="288">
        <f aca="true" t="shared" si="39" ref="L125:L132">J125/C125</f>
        <v>0</v>
      </c>
    </row>
    <row r="126" spans="1:12" ht="12.75">
      <c r="A126" s="435"/>
      <c r="B126" s="71" t="s">
        <v>198</v>
      </c>
      <c r="C126" s="9">
        <v>935000</v>
      </c>
      <c r="D126" s="9">
        <v>924000</v>
      </c>
      <c r="E126" s="9"/>
      <c r="F126" s="9"/>
      <c r="G126" s="79"/>
      <c r="H126" s="9"/>
      <c r="I126" s="9"/>
      <c r="J126" s="9"/>
      <c r="K126" s="19"/>
      <c r="L126" s="262">
        <f t="shared" si="39"/>
        <v>0</v>
      </c>
    </row>
    <row r="127" spans="1:12" ht="12.75">
      <c r="A127" s="436"/>
      <c r="B127" s="71" t="s">
        <v>100</v>
      </c>
      <c r="C127" s="9">
        <v>25680100</v>
      </c>
      <c r="D127" s="9">
        <f>160650+23372340</f>
        <v>23532990</v>
      </c>
      <c r="E127" s="9"/>
      <c r="F127" s="9"/>
      <c r="G127" s="79"/>
      <c r="H127" s="9">
        <v>25576062</v>
      </c>
      <c r="I127" s="9">
        <v>25576062</v>
      </c>
      <c r="J127" s="9"/>
      <c r="K127" s="19">
        <f>H127-J127</f>
        <v>25576062</v>
      </c>
      <c r="L127" s="262">
        <f t="shared" si="39"/>
        <v>0</v>
      </c>
    </row>
    <row r="128" spans="1:12" ht="12.75">
      <c r="A128" s="437" t="s">
        <v>124</v>
      </c>
      <c r="B128" s="43" t="s">
        <v>168</v>
      </c>
      <c r="C128" s="15">
        <f>C129+C131+C132+C130</f>
        <v>42585680</v>
      </c>
      <c r="D128" s="15">
        <f aca="true" t="shared" si="40" ref="D128:K128">D129+D131+D132+D130</f>
        <v>21033913</v>
      </c>
      <c r="E128" s="15">
        <f t="shared" si="40"/>
        <v>1200000</v>
      </c>
      <c r="F128" s="15">
        <f t="shared" si="40"/>
        <v>1354600</v>
      </c>
      <c r="G128" s="15">
        <f t="shared" si="40"/>
        <v>500000</v>
      </c>
      <c r="H128" s="15">
        <f t="shared" si="40"/>
        <v>38942631</v>
      </c>
      <c r="I128" s="15">
        <f t="shared" si="40"/>
        <v>38942631</v>
      </c>
      <c r="J128" s="15">
        <f t="shared" si="40"/>
        <v>1102534</v>
      </c>
      <c r="K128" s="15">
        <f t="shared" si="40"/>
        <v>37840097</v>
      </c>
      <c r="L128" s="289">
        <f t="shared" si="39"/>
        <v>0.02588978266872808</v>
      </c>
    </row>
    <row r="129" spans="1:12" ht="12.75">
      <c r="A129" s="437"/>
      <c r="B129" s="76" t="s">
        <v>199</v>
      </c>
      <c r="C129" s="35">
        <v>32260500</v>
      </c>
      <c r="D129" s="35">
        <v>15300000</v>
      </c>
      <c r="E129" s="35"/>
      <c r="F129" s="35"/>
      <c r="G129" s="36"/>
      <c r="H129" s="35">
        <v>31950110</v>
      </c>
      <c r="I129" s="35">
        <v>31950110</v>
      </c>
      <c r="J129" s="35"/>
      <c r="K129" s="19">
        <f>H129-J129</f>
        <v>31950110</v>
      </c>
      <c r="L129" s="253">
        <f t="shared" si="39"/>
        <v>0</v>
      </c>
    </row>
    <row r="130" spans="1:12" ht="12.75">
      <c r="A130" s="437"/>
      <c r="B130" s="76" t="s">
        <v>100</v>
      </c>
      <c r="C130" s="35">
        <v>3000</v>
      </c>
      <c r="D130" s="35">
        <v>3000</v>
      </c>
      <c r="E130" s="35"/>
      <c r="F130" s="35"/>
      <c r="G130" s="36"/>
      <c r="H130" s="35"/>
      <c r="I130" s="35"/>
      <c r="J130" s="35"/>
      <c r="K130" s="19"/>
      <c r="L130" s="253">
        <f t="shared" si="39"/>
        <v>0</v>
      </c>
    </row>
    <row r="131" spans="1:12" ht="12.75">
      <c r="A131" s="437"/>
      <c r="B131" s="74" t="s">
        <v>101</v>
      </c>
      <c r="C131" s="9">
        <v>5205000</v>
      </c>
      <c r="D131" s="9">
        <v>3147913</v>
      </c>
      <c r="E131" s="9">
        <v>1000000</v>
      </c>
      <c r="F131" s="9">
        <v>1000000</v>
      </c>
      <c r="G131" s="79">
        <v>500000</v>
      </c>
      <c r="H131" s="9">
        <v>4065113</v>
      </c>
      <c r="I131" s="9">
        <v>4065113</v>
      </c>
      <c r="J131" s="9">
        <v>866165</v>
      </c>
      <c r="K131" s="19">
        <f>H131-J131</f>
        <v>3198948</v>
      </c>
      <c r="L131" s="253">
        <f t="shared" si="39"/>
        <v>0.16641018251681075</v>
      </c>
    </row>
    <row r="132" spans="1:12" ht="12.75">
      <c r="A132" s="437"/>
      <c r="B132" s="74" t="s">
        <v>102</v>
      </c>
      <c r="C132" s="9">
        <v>5117180</v>
      </c>
      <c r="D132" s="9">
        <v>2583000</v>
      </c>
      <c r="E132" s="9">
        <v>200000</v>
      </c>
      <c r="F132" s="9">
        <v>354600</v>
      </c>
      <c r="G132" s="79"/>
      <c r="H132" s="9">
        <v>2927408</v>
      </c>
      <c r="I132" s="9">
        <v>2927408</v>
      </c>
      <c r="J132" s="9">
        <f>231380+4989</f>
        <v>236369</v>
      </c>
      <c r="K132" s="19">
        <f>H132-J132</f>
        <v>2691039</v>
      </c>
      <c r="L132" s="253">
        <f t="shared" si="39"/>
        <v>0.046191261593299435</v>
      </c>
    </row>
    <row r="133" spans="1:12" ht="13.5" thickBot="1">
      <c r="A133" s="3" t="s">
        <v>192</v>
      </c>
      <c r="B133" s="72"/>
      <c r="C133" s="63">
        <f>D133+E133+F133+G133</f>
        <v>0</v>
      </c>
      <c r="D133" s="63"/>
      <c r="E133" s="63"/>
      <c r="F133" s="63"/>
      <c r="G133" s="91"/>
      <c r="H133" s="246"/>
      <c r="I133" s="246"/>
      <c r="J133" s="246"/>
      <c r="K133" s="92">
        <f>H133-J133</f>
        <v>0</v>
      </c>
      <c r="L133" s="92">
        <f>I133-K133</f>
        <v>0</v>
      </c>
    </row>
    <row r="134" spans="1:12" ht="13.5" thickBot="1">
      <c r="A134" s="438" t="s">
        <v>127</v>
      </c>
      <c r="B134" s="439"/>
      <c r="C134" s="439"/>
      <c r="D134" s="439"/>
      <c r="E134" s="439"/>
      <c r="F134" s="439"/>
      <c r="G134" s="439"/>
      <c r="H134" s="439"/>
      <c r="I134" s="439"/>
      <c r="J134" s="439"/>
      <c r="K134" s="439"/>
      <c r="L134" s="440"/>
    </row>
    <row r="135" spans="1:12" ht="12.75">
      <c r="A135" s="247" t="s">
        <v>197</v>
      </c>
      <c r="B135" s="84" t="s">
        <v>198</v>
      </c>
      <c r="C135" s="96">
        <f>C129+C126</f>
        <v>33195500</v>
      </c>
      <c r="D135" s="96">
        <f aca="true" t="shared" si="41" ref="D135:K135">D129+D126</f>
        <v>16224000</v>
      </c>
      <c r="E135" s="96">
        <f t="shared" si="41"/>
        <v>0</v>
      </c>
      <c r="F135" s="96">
        <f t="shared" si="41"/>
        <v>0</v>
      </c>
      <c r="G135" s="96">
        <f t="shared" si="41"/>
        <v>0</v>
      </c>
      <c r="H135" s="96">
        <f t="shared" si="41"/>
        <v>31950110</v>
      </c>
      <c r="I135" s="96">
        <f t="shared" si="41"/>
        <v>31950110</v>
      </c>
      <c r="J135" s="96">
        <f t="shared" si="41"/>
        <v>0</v>
      </c>
      <c r="K135" s="96">
        <f t="shared" si="41"/>
        <v>31950110</v>
      </c>
      <c r="L135" s="254">
        <f>J135/C135</f>
        <v>0</v>
      </c>
    </row>
    <row r="136" spans="1:12" ht="12.75">
      <c r="A136" s="5" t="s">
        <v>233</v>
      </c>
      <c r="B136" s="75" t="s">
        <v>100</v>
      </c>
      <c r="C136" s="10">
        <f>C130+C127+C123</f>
        <v>25933100</v>
      </c>
      <c r="D136" s="10">
        <f aca="true" t="shared" si="42" ref="D136:J136">D130+D127+D123</f>
        <v>23785990</v>
      </c>
      <c r="E136" s="10">
        <f t="shared" si="42"/>
        <v>0</v>
      </c>
      <c r="F136" s="10">
        <f t="shared" si="42"/>
        <v>0</v>
      </c>
      <c r="G136" s="10">
        <f t="shared" si="42"/>
        <v>0</v>
      </c>
      <c r="H136" s="10">
        <f t="shared" si="42"/>
        <v>25576062</v>
      </c>
      <c r="I136" s="10">
        <f t="shared" si="42"/>
        <v>25576062</v>
      </c>
      <c r="J136" s="10">
        <f t="shared" si="42"/>
        <v>0</v>
      </c>
      <c r="K136" s="10">
        <f>K130+K127</f>
        <v>25576062</v>
      </c>
      <c r="L136" s="254">
        <f>J136/C136</f>
        <v>0</v>
      </c>
    </row>
    <row r="137" spans="1:12" ht="12.75">
      <c r="A137" s="5" t="s">
        <v>144</v>
      </c>
      <c r="B137" s="75" t="s">
        <v>101</v>
      </c>
      <c r="C137" s="10">
        <f>C131</f>
        <v>5205000</v>
      </c>
      <c r="D137" s="10">
        <f aca="true" t="shared" si="43" ref="D137:K137">D131</f>
        <v>3147913</v>
      </c>
      <c r="E137" s="10">
        <f t="shared" si="43"/>
        <v>1000000</v>
      </c>
      <c r="F137" s="10">
        <f t="shared" si="43"/>
        <v>1000000</v>
      </c>
      <c r="G137" s="10">
        <f t="shared" si="43"/>
        <v>500000</v>
      </c>
      <c r="H137" s="10">
        <f t="shared" si="43"/>
        <v>4065113</v>
      </c>
      <c r="I137" s="10">
        <f t="shared" si="43"/>
        <v>4065113</v>
      </c>
      <c r="J137" s="10">
        <f t="shared" si="43"/>
        <v>866165</v>
      </c>
      <c r="K137" s="59">
        <f t="shared" si="43"/>
        <v>3198948</v>
      </c>
      <c r="L137" s="254">
        <f>J137/C137</f>
        <v>0.16641018251681075</v>
      </c>
    </row>
    <row r="138" spans="1:12" ht="12.75">
      <c r="A138" s="4" t="s">
        <v>145</v>
      </c>
      <c r="B138" s="86" t="s">
        <v>102</v>
      </c>
      <c r="C138" s="14">
        <f>C132</f>
        <v>5117180</v>
      </c>
      <c r="D138" s="14">
        <f aca="true" t="shared" si="44" ref="D138:K138">D132</f>
        <v>2583000</v>
      </c>
      <c r="E138" s="14">
        <f t="shared" si="44"/>
        <v>200000</v>
      </c>
      <c r="F138" s="14">
        <f t="shared" si="44"/>
        <v>354600</v>
      </c>
      <c r="G138" s="14">
        <f t="shared" si="44"/>
        <v>0</v>
      </c>
      <c r="H138" s="14">
        <f t="shared" si="44"/>
        <v>2927408</v>
      </c>
      <c r="I138" s="14">
        <f t="shared" si="44"/>
        <v>2927408</v>
      </c>
      <c r="J138" s="14">
        <f t="shared" si="44"/>
        <v>236369</v>
      </c>
      <c r="K138" s="14">
        <f t="shared" si="44"/>
        <v>2691039</v>
      </c>
      <c r="L138" s="254">
        <f>J138/C138</f>
        <v>0.046191261593299435</v>
      </c>
    </row>
    <row r="139" spans="1:12" ht="13.5" thickBot="1">
      <c r="A139" s="103" t="s">
        <v>192</v>
      </c>
      <c r="B139" s="104"/>
      <c r="C139" s="105"/>
      <c r="D139" s="105"/>
      <c r="E139" s="105"/>
      <c r="F139" s="105"/>
      <c r="G139" s="105"/>
      <c r="H139" s="106"/>
      <c r="I139" s="106"/>
      <c r="J139" s="106"/>
      <c r="K139" s="107"/>
      <c r="L139" s="107"/>
    </row>
    <row r="140" spans="3:12" ht="12.75">
      <c r="C140" s="8"/>
      <c r="D140" s="7"/>
      <c r="E140" s="7"/>
      <c r="F140" s="7"/>
      <c r="G140" s="7"/>
      <c r="H140" s="7"/>
      <c r="I140" s="7"/>
      <c r="J140" s="7"/>
      <c r="K140" s="7"/>
      <c r="L140" s="7"/>
    </row>
    <row r="141" spans="3:12" ht="13.5" thickBot="1">
      <c r="C141" s="8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3.75">
      <c r="A142" s="458" t="s">
        <v>179</v>
      </c>
      <c r="B142" s="459"/>
      <c r="C142" s="25" t="s">
        <v>162</v>
      </c>
      <c r="D142" s="25" t="s">
        <v>163</v>
      </c>
      <c r="E142" s="39"/>
      <c r="F142" s="39"/>
      <c r="G142" s="39"/>
      <c r="H142" s="25" t="s">
        <v>164</v>
      </c>
      <c r="I142" s="25" t="s">
        <v>165</v>
      </c>
      <c r="J142" s="25" t="s">
        <v>166</v>
      </c>
      <c r="K142" s="26" t="s">
        <v>167</v>
      </c>
      <c r="L142" s="57" t="s">
        <v>254</v>
      </c>
    </row>
    <row r="143" spans="1:12" ht="12.75">
      <c r="A143" s="460" t="s">
        <v>121</v>
      </c>
      <c r="B143" s="461"/>
      <c r="C143" s="9">
        <f aca="true" t="shared" si="45" ref="C143:K143">C123+C96+C85+C69+C61+C41+C26+C18+C10</f>
        <v>550000</v>
      </c>
      <c r="D143" s="9">
        <f t="shared" si="45"/>
        <v>550000</v>
      </c>
      <c r="E143" s="9">
        <f t="shared" si="45"/>
        <v>400000</v>
      </c>
      <c r="F143" s="9">
        <f t="shared" si="45"/>
        <v>0</v>
      </c>
      <c r="G143" s="9">
        <f t="shared" si="45"/>
        <v>0</v>
      </c>
      <c r="H143" s="9">
        <f t="shared" si="45"/>
        <v>300000</v>
      </c>
      <c r="I143" s="9">
        <f t="shared" si="45"/>
        <v>300000</v>
      </c>
      <c r="J143" s="9">
        <f t="shared" si="45"/>
        <v>189567</v>
      </c>
      <c r="K143" s="9">
        <f t="shared" si="45"/>
        <v>110433</v>
      </c>
      <c r="L143" s="261">
        <f>J143/C143</f>
        <v>0.3446672727272727</v>
      </c>
    </row>
    <row r="144" spans="1:12" ht="12.75">
      <c r="A144" s="460" t="s">
        <v>122</v>
      </c>
      <c r="B144" s="461"/>
      <c r="C144" s="9">
        <f aca="true" t="shared" si="46" ref="C144:K144">C124+C97+C86+C70+C62+C42+C27+C19+C11</f>
        <v>0</v>
      </c>
      <c r="D144" s="9">
        <f t="shared" si="46"/>
        <v>0</v>
      </c>
      <c r="E144" s="9">
        <f t="shared" si="46"/>
        <v>0</v>
      </c>
      <c r="F144" s="9">
        <f t="shared" si="46"/>
        <v>0</v>
      </c>
      <c r="G144" s="9">
        <f t="shared" si="46"/>
        <v>0</v>
      </c>
      <c r="H144" s="9">
        <f t="shared" si="46"/>
        <v>0</v>
      </c>
      <c r="I144" s="9">
        <f t="shared" si="46"/>
        <v>0</v>
      </c>
      <c r="J144" s="9">
        <f t="shared" si="46"/>
        <v>0</v>
      </c>
      <c r="K144" s="9">
        <f t="shared" si="46"/>
        <v>0</v>
      </c>
      <c r="L144" s="261"/>
    </row>
    <row r="145" spans="1:12" ht="12.75">
      <c r="A145" s="460" t="s">
        <v>123</v>
      </c>
      <c r="B145" s="461"/>
      <c r="C145" s="9"/>
      <c r="D145" s="9"/>
      <c r="E145" s="9"/>
      <c r="F145" s="9"/>
      <c r="G145" s="9"/>
      <c r="H145" s="9"/>
      <c r="I145" s="9"/>
      <c r="J145" s="9"/>
      <c r="K145" s="9"/>
      <c r="L145" s="261"/>
    </row>
    <row r="146" spans="1:12" ht="12.75">
      <c r="A146" s="101"/>
      <c r="B146" s="377" t="s">
        <v>244</v>
      </c>
      <c r="C146" s="9">
        <f>C125+C98+C87+C72+C43+C28+C12</f>
        <v>53451300</v>
      </c>
      <c r="D146" s="9">
        <f aca="true" t="shared" si="47" ref="D146:K146">D125+D98+D87+D72+D43+D28+D12</f>
        <v>36549335</v>
      </c>
      <c r="E146" s="9">
        <f t="shared" si="47"/>
        <v>1437004</v>
      </c>
      <c r="F146" s="9">
        <f t="shared" si="47"/>
        <v>1437005</v>
      </c>
      <c r="G146" s="9">
        <f t="shared" si="47"/>
        <v>1437004</v>
      </c>
      <c r="H146" s="9">
        <f t="shared" si="47"/>
        <v>41782810</v>
      </c>
      <c r="I146" s="9">
        <f t="shared" si="47"/>
        <v>41782810</v>
      </c>
      <c r="J146" s="9">
        <f t="shared" si="47"/>
        <v>843953</v>
      </c>
      <c r="K146" s="9">
        <f t="shared" si="47"/>
        <v>40938857</v>
      </c>
      <c r="L146" s="261">
        <f>J146/C146</f>
        <v>0.015789195024255725</v>
      </c>
    </row>
    <row r="147" spans="1:12" ht="12.75">
      <c r="A147" s="460" t="s">
        <v>124</v>
      </c>
      <c r="B147" s="461"/>
      <c r="C147" s="9">
        <f>C128+C115+C102+C90+C75+C47+C29+C21+C13</f>
        <v>60975164</v>
      </c>
      <c r="D147" s="9">
        <f aca="true" t="shared" si="48" ref="D147:K147">D128+D115+D102+D90+D75+D47+D29+D21+D13</f>
        <v>33645533</v>
      </c>
      <c r="E147" s="9">
        <f t="shared" si="48"/>
        <v>2406000</v>
      </c>
      <c r="F147" s="9">
        <f t="shared" si="48"/>
        <v>2390922</v>
      </c>
      <c r="G147" s="9">
        <f t="shared" si="48"/>
        <v>966000</v>
      </c>
      <c r="H147" s="9">
        <f t="shared" si="48"/>
        <v>45245429</v>
      </c>
      <c r="I147" s="9">
        <f t="shared" si="48"/>
        <v>45245429</v>
      </c>
      <c r="J147" s="9">
        <f t="shared" si="48"/>
        <v>4219111</v>
      </c>
      <c r="K147" s="9">
        <f t="shared" si="48"/>
        <v>41026318</v>
      </c>
      <c r="L147" s="261">
        <f>J147/C147</f>
        <v>0.06919392623527836</v>
      </c>
    </row>
    <row r="148" spans="1:12" ht="15" hidden="1">
      <c r="A148" s="29" t="s">
        <v>125</v>
      </c>
      <c r="B148" s="378" t="s">
        <v>147</v>
      </c>
      <c r="C148" s="386" t="s">
        <v>148</v>
      </c>
      <c r="D148" s="386" t="s">
        <v>149</v>
      </c>
      <c r="E148" s="386" t="s">
        <v>150</v>
      </c>
      <c r="F148" s="386" t="s">
        <v>151</v>
      </c>
      <c r="G148" s="2"/>
      <c r="H148" s="2"/>
      <c r="I148" s="2"/>
      <c r="J148" s="2"/>
      <c r="K148" s="2"/>
      <c r="L148" s="387"/>
    </row>
    <row r="149" spans="1:12" ht="15.75" hidden="1">
      <c r="A149" s="18" t="s">
        <v>121</v>
      </c>
      <c r="B149" s="379">
        <f aca="true" t="shared" si="49" ref="B149:B154">C149+D149+E149+F149</f>
        <v>950000</v>
      </c>
      <c r="C149" s="9">
        <f aca="true" t="shared" si="50" ref="C149:F150">D123+D96+D85+D69+D61+D41+D26+D18+D10</f>
        <v>550000</v>
      </c>
      <c r="D149" s="9">
        <f t="shared" si="50"/>
        <v>400000</v>
      </c>
      <c r="E149" s="9">
        <f t="shared" si="50"/>
        <v>0</v>
      </c>
      <c r="F149" s="9">
        <f t="shared" si="50"/>
        <v>0</v>
      </c>
      <c r="G149" s="2"/>
      <c r="H149" s="2"/>
      <c r="I149" s="2"/>
      <c r="J149" s="2"/>
      <c r="K149" s="2"/>
      <c r="L149" s="387"/>
    </row>
    <row r="150" spans="1:12" ht="15.75" hidden="1">
      <c r="A150" s="18" t="s">
        <v>122</v>
      </c>
      <c r="B150" s="379">
        <f t="shared" si="49"/>
        <v>0</v>
      </c>
      <c r="C150" s="9">
        <f t="shared" si="50"/>
        <v>0</v>
      </c>
      <c r="D150" s="9">
        <f t="shared" si="50"/>
        <v>0</v>
      </c>
      <c r="E150" s="9">
        <f t="shared" si="50"/>
        <v>0</v>
      </c>
      <c r="F150" s="9">
        <f t="shared" si="50"/>
        <v>0</v>
      </c>
      <c r="G150" s="2"/>
      <c r="H150" s="2"/>
      <c r="I150" s="2"/>
      <c r="J150" s="2"/>
      <c r="K150" s="2"/>
      <c r="L150" s="387"/>
    </row>
    <row r="151" spans="1:12" ht="15.75" hidden="1">
      <c r="A151" s="18" t="s">
        <v>123</v>
      </c>
      <c r="B151" s="379" t="e">
        <f t="shared" si="49"/>
        <v>#REF!</v>
      </c>
      <c r="C151" s="9" t="e">
        <f>D127+D99+D88+D74+D63+#REF!+D28+D20+D12</f>
        <v>#REF!</v>
      </c>
      <c r="D151" s="9" t="e">
        <f>E127+E99+E88+E74+E63+#REF!+E28+E20+E12</f>
        <v>#REF!</v>
      </c>
      <c r="E151" s="9" t="e">
        <f>F127+F99+F88+F74+F63+#REF!+F28+F20+F12</f>
        <v>#REF!</v>
      </c>
      <c r="F151" s="9" t="e">
        <f>G127+G99+G88+G74+G63+#REF!+G28+G20+G12</f>
        <v>#REF!</v>
      </c>
      <c r="G151" s="2"/>
      <c r="H151" s="2"/>
      <c r="I151" s="2"/>
      <c r="J151" s="2"/>
      <c r="K151" s="2"/>
      <c r="L151" s="387"/>
    </row>
    <row r="152" spans="1:12" ht="15.75" hidden="1">
      <c r="A152" s="18" t="s">
        <v>124</v>
      </c>
      <c r="B152" s="379">
        <f t="shared" si="49"/>
        <v>39056455</v>
      </c>
      <c r="C152" s="9">
        <f>D128+D102+D75+D64+D47+D33+D21+D13+D90</f>
        <v>33293533</v>
      </c>
      <c r="D152" s="9">
        <f>E128+E102+E75+E64+E47+E33+E21+E13+E90</f>
        <v>2406000</v>
      </c>
      <c r="E152" s="9">
        <f>F128+F102+F75+F64+F47+F33+F21+F13+F90</f>
        <v>2390922</v>
      </c>
      <c r="F152" s="9">
        <f>G128+G102+G75+G64+G47+G33+G21+G13+G90</f>
        <v>966000</v>
      </c>
      <c r="G152" s="2"/>
      <c r="H152" s="2"/>
      <c r="I152" s="2"/>
      <c r="J152" s="2"/>
      <c r="K152" s="2"/>
      <c r="L152" s="387"/>
    </row>
    <row r="153" spans="1:12" ht="15.75" hidden="1">
      <c r="A153" s="18" t="s">
        <v>125</v>
      </c>
      <c r="B153" s="379">
        <f t="shared" si="49"/>
        <v>0</v>
      </c>
      <c r="C153" s="9"/>
      <c r="D153" s="2"/>
      <c r="E153" s="2"/>
      <c r="F153" s="2"/>
      <c r="G153" s="2"/>
      <c r="H153" s="2"/>
      <c r="I153" s="2"/>
      <c r="J153" s="2"/>
      <c r="K153" s="2"/>
      <c r="L153" s="387"/>
    </row>
    <row r="154" spans="1:12" ht="16.5" hidden="1" thickBot="1">
      <c r="A154" s="20" t="s">
        <v>153</v>
      </c>
      <c r="B154" s="380" t="e">
        <f t="shared" si="49"/>
        <v>#REF!</v>
      </c>
      <c r="C154" s="388" t="e">
        <f>C153+C152+C151+C150+C149</f>
        <v>#REF!</v>
      </c>
      <c r="D154" s="388" t="e">
        <f>D153+D152+D151+D150+D149</f>
        <v>#REF!</v>
      </c>
      <c r="E154" s="388" t="e">
        <f>E153+E152+E151+E150+E149</f>
        <v>#REF!</v>
      </c>
      <c r="F154" s="388" t="e">
        <f>F153+F152+F151+F150+F149</f>
        <v>#REF!</v>
      </c>
      <c r="G154" s="2"/>
      <c r="H154" s="2"/>
      <c r="I154" s="2"/>
      <c r="J154" s="2"/>
      <c r="K154" s="2"/>
      <c r="L154" s="387"/>
    </row>
    <row r="155" spans="1:12" ht="12.75" hidden="1">
      <c r="A155" s="40"/>
      <c r="B155" s="41"/>
      <c r="C155" s="9"/>
      <c r="D155" s="2"/>
      <c r="E155" s="2"/>
      <c r="F155" s="2"/>
      <c r="G155" s="2"/>
      <c r="H155" s="2"/>
      <c r="I155" s="2"/>
      <c r="J155" s="2"/>
      <c r="K155" s="2"/>
      <c r="L155" s="387"/>
    </row>
    <row r="156" spans="1:12" ht="13.5" thickBot="1">
      <c r="A156" s="465" t="s">
        <v>203</v>
      </c>
      <c r="B156" s="466"/>
      <c r="C156" s="9"/>
      <c r="D156" s="2"/>
      <c r="E156" s="2"/>
      <c r="F156" s="2"/>
      <c r="G156" s="2"/>
      <c r="H156" s="389">
        <f>H139+H113</f>
        <v>0</v>
      </c>
      <c r="I156" s="389">
        <f>I139+I113</f>
        <v>0</v>
      </c>
      <c r="J156" s="389">
        <f>J139+J113</f>
        <v>0</v>
      </c>
      <c r="K156" s="2"/>
      <c r="L156" s="387"/>
    </row>
    <row r="157" spans="1:12" ht="18.75" thickBot="1">
      <c r="A157" s="455" t="s">
        <v>154</v>
      </c>
      <c r="B157" s="456"/>
      <c r="C157" s="381">
        <f>C147+C145+C144+C143+C146</f>
        <v>114976464</v>
      </c>
      <c r="D157" s="381">
        <f aca="true" t="shared" si="51" ref="D157:K157">D147+D145+D144+D143+D146</f>
        <v>70744868</v>
      </c>
      <c r="E157" s="382">
        <f t="shared" si="51"/>
        <v>4243004</v>
      </c>
      <c r="F157" s="383">
        <f t="shared" si="51"/>
        <v>3827927</v>
      </c>
      <c r="G157" s="384">
        <f t="shared" si="51"/>
        <v>2403004</v>
      </c>
      <c r="H157" s="381">
        <f t="shared" si="51"/>
        <v>87328239</v>
      </c>
      <c r="I157" s="381">
        <f t="shared" si="51"/>
        <v>87328239</v>
      </c>
      <c r="J157" s="381">
        <f t="shared" si="51"/>
        <v>5252631</v>
      </c>
      <c r="K157" s="381">
        <f t="shared" si="51"/>
        <v>82075608</v>
      </c>
      <c r="L157" s="385">
        <f>J157/C157</f>
        <v>0.04568440198334852</v>
      </c>
    </row>
    <row r="158" spans="1:12" s="32" customFormat="1" ht="18">
      <c r="A158" s="30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1:12" ht="12.75">
      <c r="A159" s="23" t="s">
        <v>175</v>
      </c>
      <c r="C159" s="8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22" t="s">
        <v>200</v>
      </c>
      <c r="C160" s="8"/>
      <c r="D160" s="6" t="s">
        <v>176</v>
      </c>
      <c r="E160" s="7"/>
      <c r="F160" s="7"/>
      <c r="G160" s="7"/>
      <c r="H160" s="7"/>
      <c r="I160" s="7"/>
      <c r="J160" s="6" t="s">
        <v>242</v>
      </c>
      <c r="K160" s="7"/>
      <c r="L160" s="7"/>
    </row>
    <row r="161" spans="1:12" ht="12.75">
      <c r="A161" s="100" t="s">
        <v>239</v>
      </c>
      <c r="C161" s="8"/>
      <c r="D161" t="s">
        <v>177</v>
      </c>
      <c r="E161" s="7"/>
      <c r="F161" s="7"/>
      <c r="G161" s="7"/>
      <c r="H161" s="7"/>
      <c r="I161" s="7"/>
      <c r="J161" t="s">
        <v>238</v>
      </c>
      <c r="K161" s="7"/>
      <c r="L161" s="7"/>
    </row>
    <row r="164" ht="12.75" hidden="1">
      <c r="B164" s="23" t="s">
        <v>229</v>
      </c>
    </row>
    <row r="165" spans="2:12" ht="12.75" hidden="1">
      <c r="B165" s="23" t="s">
        <v>230</v>
      </c>
      <c r="C165" s="8">
        <f>C138+C137+C135+C120+C112+C111+C110+C109+C94+C83+C82+C81+C67+C59+C58+C57+C55+C39+C38+C37+C36+C16</f>
        <v>88535564</v>
      </c>
      <c r="D165" s="8">
        <f>D138+D137+D135+D120+D112+D111+D110+D109+D94+D83+D82+D81+D67+D59+D58+D57+D55+D39+D38+D37+D36+D16</f>
        <v>46451078</v>
      </c>
      <c r="E165" s="8">
        <f>E138+E137+E135+E120+E112+E111+E110+E109+E94+E83+E82+E81+E67+E59+E58+E57+E55+E39+E38+E37+E36+E16</f>
        <v>4237004</v>
      </c>
      <c r="F165" s="8">
        <f>F138+F137+F135+F120+F112+F111+F110+F109+F94+F83+F82+F81+F67+F59+F58+F57+F55+F39+F38+F37+F36+F16</f>
        <v>3827927</v>
      </c>
      <c r="G165" s="8">
        <f>G138+G137+G135+G120+G112+G111+G110+G109+G94+G83+G82+G81+G67+G59+G58+G57+G55+G39+G38+G37+G36+G16</f>
        <v>2403004</v>
      </c>
      <c r="H165" s="8">
        <f>H138+H137+H135+H120+H112+H111+H110+H109+H94+H83+H82+H81+H67+H59+H58+H57+H55+H39+H38+H37+H36+H16+H139+H113</f>
        <v>61244377</v>
      </c>
      <c r="I165" s="8">
        <f>I138+I137+I135+I120+I112+I111+I110+I109+I94+I83+I82+I81+I67+I59+I58+I57+I55+I39+I38+I37+I36+I16+I139+I113</f>
        <v>61244377</v>
      </c>
      <c r="J165" s="8">
        <f>J138+J137+J135+J120+J112+J111+J110+J109+J94+J83+J82+J81+J67+J59+J58+J57+J55+J39+J38+J37+J36+J16+J139+J113</f>
        <v>5085852</v>
      </c>
      <c r="K165" s="8">
        <f>K138+K137+K135+K120+K112+K111+K110+K109+K94+K83+K82+K81+K67+K59+K58+K57+K55+K39+K38+K37+K36+K16+K139+K113</f>
        <v>56158525</v>
      </c>
      <c r="L165" s="8">
        <f>L138+L137+L135+L120+L112+L111+L110+L109+L94+L83+L82+L81+L67+L59+L58+L57+L55+L39+L38+L37+L36+L16+L139+L113</f>
        <v>3.457112614297486</v>
      </c>
    </row>
    <row r="166" ht="12.75">
      <c r="I166" s="23" t="s">
        <v>270</v>
      </c>
    </row>
    <row r="167" spans="1:9" ht="12.75">
      <c r="A167" s="23" t="s">
        <v>268</v>
      </c>
      <c r="I167" s="477" t="s">
        <v>271</v>
      </c>
    </row>
    <row r="168" ht="12.75">
      <c r="A168" s="23" t="s">
        <v>269</v>
      </c>
    </row>
  </sheetData>
  <sheetProtection/>
  <mergeCells count="32">
    <mergeCell ref="A4:L4"/>
    <mergeCell ref="A5:L5"/>
    <mergeCell ref="A15:L15"/>
    <mergeCell ref="A23:L23"/>
    <mergeCell ref="A35:L35"/>
    <mergeCell ref="A54:L54"/>
    <mergeCell ref="B18:B22"/>
    <mergeCell ref="A47:A52"/>
    <mergeCell ref="A7:B7"/>
    <mergeCell ref="A29:A33"/>
    <mergeCell ref="A157:B157"/>
    <mergeCell ref="A142:B142"/>
    <mergeCell ref="A143:B143"/>
    <mergeCell ref="A144:B144"/>
    <mergeCell ref="A102:A106"/>
    <mergeCell ref="A156:B156"/>
    <mergeCell ref="A147:B147"/>
    <mergeCell ref="A145:B145"/>
    <mergeCell ref="A72:A74"/>
    <mergeCell ref="A80:L80"/>
    <mergeCell ref="A118:L118"/>
    <mergeCell ref="A43:A46"/>
    <mergeCell ref="A108:L108"/>
    <mergeCell ref="A66:K66"/>
    <mergeCell ref="A75:A78"/>
    <mergeCell ref="A87:A89"/>
    <mergeCell ref="A125:A127"/>
    <mergeCell ref="A128:A132"/>
    <mergeCell ref="A98:A101"/>
    <mergeCell ref="A134:L134"/>
    <mergeCell ref="A92:L92"/>
    <mergeCell ref="A115:A117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2020-08-03T10:42:12Z</cp:lastPrinted>
  <dcterms:created xsi:type="dcterms:W3CDTF">2011-02-23T07:07:11Z</dcterms:created>
  <dcterms:modified xsi:type="dcterms:W3CDTF">2020-08-03T10:46:34Z</dcterms:modified>
  <cp:category/>
  <cp:version/>
  <cp:contentType/>
  <cp:contentStatus/>
</cp:coreProperties>
</file>