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10" windowHeight="11790" activeTab="0"/>
  </bookViews>
  <sheets>
    <sheet name="DG " sheetId="1" r:id="rId1"/>
    <sheet name="Sheet1" sheetId="2" r:id="rId2"/>
  </sheets>
  <definedNames>
    <definedName name="_xlfn.SUMIFS" hidden="1">#NAME?</definedName>
    <definedName name="_xlnm.Print_Area" localSheetId="0">'DG '!$A$5:$F$90</definedName>
  </definedNames>
  <calcPr fullCalcOnLoad="1"/>
</workbook>
</file>

<file path=xl/sharedStrings.xml><?xml version="1.0" encoding="utf-8"?>
<sst xmlns="http://schemas.openxmlformats.org/spreadsheetml/2006/main" count="264" uniqueCount="128">
  <si>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</si>
  <si>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</si>
  <si>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</si>
  <si>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</si>
  <si>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</si>
  <si>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</si>
  <si>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</si>
  <si>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</si>
  <si>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</si>
  <si>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</si>
  <si>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</si>
  <si>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</si>
  <si>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</si>
  <si>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</si>
  <si>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</si>
  <si>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</si>
  <si>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</si>
  <si>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</si>
  <si>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</si>
  <si>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</si>
  <si>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</si>
  <si>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</si>
  <si>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</si>
  <si>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</si>
  <si>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</si>
  <si>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</si>
  <si>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</si>
  <si>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</si>
  <si>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</si>
  <si>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</si>
  <si>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</si>
  <si>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</si>
  <si>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</si>
  <si>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</si>
  <si>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</si>
  <si>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</si>
  <si>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</si>
  <si>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</si>
  <si>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</si>
  <si>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</si>
  <si>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</si>
  <si>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</si>
  <si>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</si>
  <si>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</si>
  <si>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</si>
  <si>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</si>
  <si>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</si>
  <si>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</si>
  <si>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</si>
  <si>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</si>
  <si>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</si>
  <si>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</si>
  <si>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</si>
  <si>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</si>
  <si>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</si>
  <si>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</si>
  <si>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</si>
  <si>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</si>
  <si>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</si>
  <si>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</si>
  <si>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</si>
  <si>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</si>
  <si>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</si>
  <si>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</si>
  <si>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</si>
  <si>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</si>
  <si>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</si>
  <si>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</si>
  <si>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</si>
  <si>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</si>
  <si>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</si>
  <si>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</si>
  <si>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</si>
  <si>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</si>
  <si>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</si>
  <si>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</si>
  <si>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</si>
  <si>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</si>
  <si>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</si>
  <si>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</si>
  <si>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</si>
  <si>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</si>
  <si>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</si>
  <si>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</si>
  <si>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</si>
  <si>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</si>
  <si>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</si>
  <si>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</si>
  <si>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</si>
  <si>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</si>
  <si>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</si>
  <si>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</si>
  <si>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</si>
  <si>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</si>
  <si>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</si>
  <si>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</si>
  <si>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</si>
  <si>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</si>
  <si>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</si>
  <si>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</si>
  <si>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</si>
  <si>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</si>
  <si>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</si>
  <si>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</si>
  <si>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</si>
  <si>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</si>
  <si>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</si>
  <si>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</si>
  <si>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</si>
  <si>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</si>
  <si>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</si>
  <si>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</si>
  <si>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</si>
  <si>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Preturi fără TVA</t>
  </si>
  <si>
    <t>CAP4</t>
  </si>
  <si>
    <t>TOT</t>
  </si>
  <si>
    <t>ANEXA  NR. 2
la Hotărârea Consiliului local al municipiului Satu Mare
Nr......................./...............................</t>
  </si>
  <si>
    <t>Municipiul Satu Mare</t>
  </si>
  <si>
    <t>DEVIZ  GENERAL 
al obiectivului de investiţie : "Extindere rețele de alimentare cu apa și canalizare menajeră în municipiul Satu Mare, zona Bercu Roșu"</t>
  </si>
  <si>
    <t xml:space="preserve">Cost unitar aferent investiției apa (lei) </t>
  </si>
  <si>
    <t>Cost unitar aferent investiției apa (EURO)</t>
  </si>
  <si>
    <t xml:space="preserve">Cost unitar aferent investiției canalizare (lei) </t>
  </si>
  <si>
    <t>Cost unitar aferent investiției canalizare (EURO)</t>
  </si>
  <si>
    <t>-</t>
  </si>
  <si>
    <t>Valoarea de referință pentru determinarea încadrării în standardul de cost (locuitori beneficiari/locuitori echivalenți beneficiari/km) apa</t>
  </si>
  <si>
    <t>1250 euro/locuitor</t>
  </si>
  <si>
    <t>Valoarea de referință pentru determinarea încadrării în standardul de cost (locuitori beneficiari/locuitori echivalenți beneficiari/km) canal</t>
  </si>
  <si>
    <t>2500 euro/locuitor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</si>
</sst>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m/yyyy"/>
    <numFmt numFmtId="173" formatCode="#,##0.0000"/>
    <numFmt numFmtId="174" formatCode="[$-418]d\ mmmm\ yyyy"/>
    <numFmt numFmtId="175" formatCode="#,##0.0"/>
    <numFmt numFmtId="176" formatCode="#,##0.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2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173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73" fontId="3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vertical="center"/>
    </xf>
    <xf numFmtId="182" fontId="1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13" fillId="16" borderId="10" xfId="0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Alignment="1">
      <alignment horizontal="center"/>
    </xf>
    <xf numFmtId="4" fontId="15" fillId="16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7" fillId="35" borderId="33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4" xfId="0" applyFont="1" applyFill="1" applyBorder="1" applyAlignment="1" applyProtection="1">
      <alignment horizontal="center" vertical="center" wrapText="1"/>
      <protection hidden="1"/>
    </xf>
    <xf numFmtId="0" fontId="12" fillId="3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left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tabSelected="1" zoomScale="110" zoomScaleNormal="110" zoomScalePageLayoutView="0" workbookViewId="0" topLeftCell="A57">
      <selection activeCell="E79" sqref="E79"/>
    </sheetView>
  </sheetViews>
  <sheetFormatPr defaultColWidth="9.140625" defaultRowHeight="12.75"/>
  <cols>
    <col min="1" max="1" width="6.8515625" style="4" customWidth="1"/>
    <col min="2" max="2" width="44.421875" style="4" customWidth="1"/>
    <col min="3" max="3" width="17.8515625" style="4" customWidth="1"/>
    <col min="4" max="4" width="15.7109375" style="4" customWidth="1"/>
    <col min="5" max="5" width="15.421875" style="4" customWidth="1"/>
    <col min="6" max="6" width="14.7109375" style="36" customWidth="1"/>
    <col min="7" max="7" width="14.28125" style="35" customWidth="1"/>
    <col min="8" max="16" width="9.140625" style="22" customWidth="1"/>
    <col min="17" max="16384" width="9.140625" style="1" customWidth="1"/>
  </cols>
  <sheetData>
    <row r="1" spans="2:4" ht="22.5" customHeight="1">
      <c r="B1" s="118" t="s">
        <v>116</v>
      </c>
      <c r="C1" s="118"/>
      <c r="D1" s="118"/>
    </row>
    <row r="2" spans="2:4" ht="12.75" customHeight="1">
      <c r="B2" s="118"/>
      <c r="C2" s="118"/>
      <c r="D2" s="118"/>
    </row>
    <row r="3" spans="2:4" ht="12.75" customHeight="1">
      <c r="B3" s="118"/>
      <c r="C3" s="118"/>
      <c r="D3" s="118"/>
    </row>
    <row r="5" spans="1:6" ht="39" customHeight="1">
      <c r="A5" s="119" t="s">
        <v>118</v>
      </c>
      <c r="B5" s="120"/>
      <c r="C5" s="120"/>
      <c r="D5" s="120"/>
      <c r="E5" s="120"/>
      <c r="F5" s="28"/>
    </row>
    <row r="6" spans="1:6" ht="13.5" thickBot="1">
      <c r="A6" s="6"/>
      <c r="B6" s="6"/>
      <c r="C6" s="6"/>
      <c r="D6" s="5"/>
      <c r="E6" s="29"/>
      <c r="F6" s="37"/>
    </row>
    <row r="7" spans="1:8" ht="38.25">
      <c r="A7" s="121" t="s">
        <v>0</v>
      </c>
      <c r="B7" s="123" t="s">
        <v>1</v>
      </c>
      <c r="C7" s="125" t="s">
        <v>28</v>
      </c>
      <c r="D7" s="126"/>
      <c r="E7" s="127"/>
      <c r="F7" s="38" t="s">
        <v>50</v>
      </c>
      <c r="G7" s="38" t="s">
        <v>99</v>
      </c>
      <c r="H7" s="38" t="s">
        <v>112</v>
      </c>
    </row>
    <row r="8" spans="1:7" ht="25.5">
      <c r="A8" s="122"/>
      <c r="B8" s="124"/>
      <c r="C8" s="24" t="s">
        <v>95</v>
      </c>
      <c r="D8" s="9" t="s">
        <v>96</v>
      </c>
      <c r="E8" s="30" t="s">
        <v>97</v>
      </c>
      <c r="F8" s="38"/>
      <c r="G8" s="38"/>
    </row>
    <row r="9" spans="1:7" ht="12.75">
      <c r="A9" s="122"/>
      <c r="B9" s="124"/>
      <c r="C9" s="8" t="s">
        <v>2</v>
      </c>
      <c r="D9" s="10" t="s">
        <v>2</v>
      </c>
      <c r="E9" s="31" t="s">
        <v>2</v>
      </c>
      <c r="F9" s="42"/>
      <c r="G9" s="39"/>
    </row>
    <row r="10" spans="1:7" ht="13.5" thickBot="1">
      <c r="A10" s="44">
        <v>1</v>
      </c>
      <c r="B10" s="45">
        <v>2</v>
      </c>
      <c r="C10" s="45">
        <v>3</v>
      </c>
      <c r="D10" s="46">
        <v>4</v>
      </c>
      <c r="E10" s="47">
        <v>5</v>
      </c>
      <c r="F10" s="41"/>
      <c r="G10" s="39"/>
    </row>
    <row r="11" spans="1:7" ht="15" thickBot="1">
      <c r="A11" s="115" t="s">
        <v>40</v>
      </c>
      <c r="B11" s="116"/>
      <c r="C11" s="116"/>
      <c r="D11" s="116"/>
      <c r="E11" s="117"/>
      <c r="F11" s="41"/>
      <c r="G11" s="39"/>
    </row>
    <row r="12" spans="1:8" ht="12.75">
      <c r="A12" s="61" t="s">
        <v>3</v>
      </c>
      <c r="B12" s="62" t="s">
        <v>94</v>
      </c>
      <c r="C12" s="68"/>
      <c r="D12" s="72">
        <f>ROUND(0.19*C12,2)</f>
        <v>0</v>
      </c>
      <c r="E12" s="73">
        <f>D12+C12</f>
        <v>0</v>
      </c>
      <c r="F12" s="40" t="s">
        <v>29</v>
      </c>
      <c r="G12" s="39" t="s">
        <v>100</v>
      </c>
      <c r="H12" s="39" t="s">
        <v>100</v>
      </c>
    </row>
    <row r="13" spans="1:16" s="19" customFormat="1" ht="12.75">
      <c r="A13" s="33" t="s">
        <v>4</v>
      </c>
      <c r="B13" s="48" t="s">
        <v>93</v>
      </c>
      <c r="C13" s="69"/>
      <c r="D13" s="74">
        <f>ROUND(0.19*C13,2)</f>
        <v>0</v>
      </c>
      <c r="E13" s="75">
        <f>D13+C13</f>
        <v>0</v>
      </c>
      <c r="F13" s="40" t="s">
        <v>30</v>
      </c>
      <c r="G13" s="39" t="s">
        <v>105</v>
      </c>
      <c r="H13" s="39" t="s">
        <v>105</v>
      </c>
      <c r="I13" s="22"/>
      <c r="J13" s="22"/>
      <c r="K13" s="22"/>
      <c r="L13" s="22"/>
      <c r="M13" s="22"/>
      <c r="N13" s="22"/>
      <c r="O13" s="22"/>
      <c r="P13" s="22"/>
    </row>
    <row r="14" spans="1:8" ht="25.5">
      <c r="A14" s="33" t="s">
        <v>5</v>
      </c>
      <c r="B14" s="23" t="s">
        <v>41</v>
      </c>
      <c r="C14" s="70">
        <v>0</v>
      </c>
      <c r="D14" s="74">
        <f>ROUND(0.19*C14,2)</f>
        <v>0</v>
      </c>
      <c r="E14" s="75">
        <f>D14+C14</f>
        <v>0</v>
      </c>
      <c r="F14" s="40" t="s">
        <v>29</v>
      </c>
      <c r="G14" s="39" t="s">
        <v>105</v>
      </c>
      <c r="H14" s="39" t="s">
        <v>105</v>
      </c>
    </row>
    <row r="15" spans="1:16" s="19" customFormat="1" ht="12.75">
      <c r="A15" s="34" t="s">
        <v>51</v>
      </c>
      <c r="B15" s="23" t="s">
        <v>52</v>
      </c>
      <c r="C15" s="69">
        <v>0</v>
      </c>
      <c r="D15" s="74">
        <f>ROUND(0.19*C15,2)</f>
        <v>0</v>
      </c>
      <c r="E15" s="75">
        <f>D15+C15</f>
        <v>0</v>
      </c>
      <c r="F15" s="40" t="s">
        <v>30</v>
      </c>
      <c r="G15" s="39" t="s">
        <v>105</v>
      </c>
      <c r="H15" s="39" t="s">
        <v>105</v>
      </c>
      <c r="I15" s="22"/>
      <c r="J15" s="22"/>
      <c r="K15" s="22"/>
      <c r="L15" s="22"/>
      <c r="M15" s="22"/>
      <c r="N15" s="22"/>
      <c r="O15" s="22"/>
      <c r="P15" s="22"/>
    </row>
    <row r="16" spans="1:7" ht="15.75" thickBot="1">
      <c r="A16" s="59"/>
      <c r="B16" s="60" t="s">
        <v>38</v>
      </c>
      <c r="C16" s="71">
        <f>_xlfn.SUMIFS(C12:C15,$F$12:$F$15,"&lt;&gt;")</f>
        <v>0</v>
      </c>
      <c r="D16" s="71">
        <f>_xlfn.SUMIFS(D12:D15,$F$12:$F$15,"&lt;&gt;0")</f>
        <v>0</v>
      </c>
      <c r="E16" s="71">
        <f>_xlfn.SUMIFS(E12:E15,$F$12:$F$15,"&lt;&gt;")</f>
        <v>0</v>
      </c>
      <c r="F16" s="40"/>
      <c r="G16" s="39"/>
    </row>
    <row r="17" spans="1:7" ht="14.25">
      <c r="A17" s="115" t="s">
        <v>42</v>
      </c>
      <c r="B17" s="116"/>
      <c r="C17" s="116"/>
      <c r="D17" s="116"/>
      <c r="E17" s="117"/>
      <c r="F17" s="40"/>
      <c r="G17" s="39"/>
    </row>
    <row r="18" spans="1:8" ht="25.5">
      <c r="A18" s="33">
        <v>2</v>
      </c>
      <c r="B18" s="23" t="s">
        <v>53</v>
      </c>
      <c r="C18" s="70">
        <v>25500</v>
      </c>
      <c r="D18" s="74">
        <f>ROUND(0.19*C18,2)</f>
        <v>4845</v>
      </c>
      <c r="E18" s="75">
        <f>D18+C18</f>
        <v>30345</v>
      </c>
      <c r="F18" s="40" t="s">
        <v>30</v>
      </c>
      <c r="G18" s="41" t="s">
        <v>105</v>
      </c>
      <c r="H18" s="41" t="s">
        <v>105</v>
      </c>
    </row>
    <row r="19" spans="1:7" ht="15" thickBot="1">
      <c r="A19" s="53"/>
      <c r="B19" s="63" t="s">
        <v>39</v>
      </c>
      <c r="C19" s="71">
        <f>_xlfn.SUMIFS(C18,$F$18,"&lt;&gt;")</f>
        <v>25500</v>
      </c>
      <c r="D19" s="71">
        <f>_xlfn.SUMIFS(D18,$F$18,"&lt;&gt;")</f>
        <v>4845</v>
      </c>
      <c r="E19" s="76">
        <f>_xlfn.SUMIFS(E18,$F$18,"&lt;&gt;")</f>
        <v>30345</v>
      </c>
      <c r="F19" s="40"/>
      <c r="G19" s="39"/>
    </row>
    <row r="20" spans="1:7" ht="15" thickBot="1">
      <c r="A20" s="115" t="s">
        <v>43</v>
      </c>
      <c r="B20" s="116"/>
      <c r="C20" s="116"/>
      <c r="D20" s="116"/>
      <c r="E20" s="117"/>
      <c r="F20" s="40"/>
      <c r="G20" s="39"/>
    </row>
    <row r="21" spans="1:8" ht="12.75">
      <c r="A21" s="61" t="s">
        <v>6</v>
      </c>
      <c r="B21" s="67" t="s">
        <v>54</v>
      </c>
      <c r="C21" s="68">
        <v>15000</v>
      </c>
      <c r="D21" s="80">
        <f aca="true" t="shared" si="0" ref="D21:D34">ROUND(0.19*C21,2)</f>
        <v>2850</v>
      </c>
      <c r="E21" s="81">
        <f aca="true" t="shared" si="1" ref="E21:E34">D21+C21</f>
        <v>17850</v>
      </c>
      <c r="F21" s="40" t="s">
        <v>29</v>
      </c>
      <c r="G21" s="39" t="s">
        <v>105</v>
      </c>
      <c r="H21" s="39" t="s">
        <v>100</v>
      </c>
    </row>
    <row r="22" spans="1:8" ht="25.5">
      <c r="A22" s="33" t="s">
        <v>7</v>
      </c>
      <c r="B22" s="23" t="s">
        <v>55</v>
      </c>
      <c r="C22" s="70">
        <v>2500</v>
      </c>
      <c r="D22" s="78">
        <f t="shared" si="0"/>
        <v>475</v>
      </c>
      <c r="E22" s="79">
        <f t="shared" si="1"/>
        <v>2975</v>
      </c>
      <c r="F22" s="40" t="s">
        <v>29</v>
      </c>
      <c r="G22" s="39" t="s">
        <v>105</v>
      </c>
      <c r="H22" s="39" t="s">
        <v>100</v>
      </c>
    </row>
    <row r="23" spans="1:8" ht="12.75">
      <c r="A23" s="34" t="s">
        <v>8</v>
      </c>
      <c r="B23" s="23" t="s">
        <v>56</v>
      </c>
      <c r="C23" s="70">
        <v>0</v>
      </c>
      <c r="D23" s="78">
        <f t="shared" si="0"/>
        <v>0</v>
      </c>
      <c r="E23" s="79">
        <f t="shared" si="1"/>
        <v>0</v>
      </c>
      <c r="F23" s="40" t="s">
        <v>29</v>
      </c>
      <c r="G23" s="39" t="s">
        <v>105</v>
      </c>
      <c r="H23" s="39" t="s">
        <v>100</v>
      </c>
    </row>
    <row r="24" spans="1:8" ht="25.5">
      <c r="A24" s="34" t="s">
        <v>9</v>
      </c>
      <c r="B24" s="23" t="s">
        <v>57</v>
      </c>
      <c r="C24" s="70">
        <v>0</v>
      </c>
      <c r="D24" s="78">
        <f t="shared" si="0"/>
        <v>0</v>
      </c>
      <c r="E24" s="79">
        <f t="shared" si="1"/>
        <v>0</v>
      </c>
      <c r="F24" s="40" t="s">
        <v>29</v>
      </c>
      <c r="G24" s="39" t="s">
        <v>105</v>
      </c>
      <c r="H24" s="39" t="s">
        <v>100</v>
      </c>
    </row>
    <row r="25" spans="1:8" ht="12.75">
      <c r="A25" s="34" t="s">
        <v>10</v>
      </c>
      <c r="B25" s="49" t="s">
        <v>58</v>
      </c>
      <c r="C25" s="78">
        <f>SUM(C26:C31)</f>
        <v>156000</v>
      </c>
      <c r="D25" s="78">
        <f>SUM(D26:D31)</f>
        <v>29640</v>
      </c>
      <c r="E25" s="79">
        <f>SUM(E26:E31)</f>
        <v>185640</v>
      </c>
      <c r="F25" s="40"/>
      <c r="G25" s="39"/>
      <c r="H25" s="39"/>
    </row>
    <row r="26" spans="1:8" ht="12.75">
      <c r="A26" s="64" t="s">
        <v>59</v>
      </c>
      <c r="B26" s="65" t="s">
        <v>60</v>
      </c>
      <c r="C26" s="77">
        <v>0</v>
      </c>
      <c r="D26" s="82">
        <f t="shared" si="0"/>
        <v>0</v>
      </c>
      <c r="E26" s="83">
        <f t="shared" si="1"/>
        <v>0</v>
      </c>
      <c r="F26" s="40" t="s">
        <v>29</v>
      </c>
      <c r="G26" s="39" t="s">
        <v>105</v>
      </c>
      <c r="H26" s="39" t="s">
        <v>100</v>
      </c>
    </row>
    <row r="27" spans="1:8" ht="12.75">
      <c r="A27" s="64" t="s">
        <v>61</v>
      </c>
      <c r="B27" s="65" t="s">
        <v>62</v>
      </c>
      <c r="C27" s="77">
        <v>0</v>
      </c>
      <c r="D27" s="82">
        <f t="shared" si="0"/>
        <v>0</v>
      </c>
      <c r="E27" s="83">
        <f t="shared" si="1"/>
        <v>0</v>
      </c>
      <c r="F27" s="40" t="s">
        <v>29</v>
      </c>
      <c r="G27" s="39" t="s">
        <v>105</v>
      </c>
      <c r="H27" s="39" t="s">
        <v>100</v>
      </c>
    </row>
    <row r="28" spans="1:8" ht="24">
      <c r="A28" s="64" t="s">
        <v>63</v>
      </c>
      <c r="B28" s="66" t="s">
        <v>64</v>
      </c>
      <c r="C28" s="77">
        <v>31000</v>
      </c>
      <c r="D28" s="82">
        <f t="shared" si="0"/>
        <v>5890</v>
      </c>
      <c r="E28" s="83">
        <f t="shared" si="1"/>
        <v>36890</v>
      </c>
      <c r="F28" s="40" t="s">
        <v>29</v>
      </c>
      <c r="G28" s="39" t="s">
        <v>105</v>
      </c>
      <c r="H28" s="39" t="s">
        <v>100</v>
      </c>
    </row>
    <row r="29" spans="1:8" ht="24">
      <c r="A29" s="64" t="s">
        <v>65</v>
      </c>
      <c r="B29" s="66" t="s">
        <v>66</v>
      </c>
      <c r="C29" s="77">
        <v>5000</v>
      </c>
      <c r="D29" s="84">
        <f t="shared" si="0"/>
        <v>950</v>
      </c>
      <c r="E29" s="85">
        <f t="shared" si="1"/>
        <v>5950</v>
      </c>
      <c r="F29" s="40" t="s">
        <v>30</v>
      </c>
      <c r="G29" s="39" t="s">
        <v>105</v>
      </c>
      <c r="H29" s="39" t="s">
        <v>100</v>
      </c>
    </row>
    <row r="30" spans="1:8" ht="24">
      <c r="A30" s="64" t="s">
        <v>67</v>
      </c>
      <c r="B30" s="66" t="s">
        <v>104</v>
      </c>
      <c r="C30" s="77">
        <v>5000</v>
      </c>
      <c r="D30" s="84">
        <f t="shared" si="0"/>
        <v>950</v>
      </c>
      <c r="E30" s="85">
        <f t="shared" si="1"/>
        <v>5950</v>
      </c>
      <c r="F30" s="40" t="s">
        <v>30</v>
      </c>
      <c r="G30" s="39" t="s">
        <v>105</v>
      </c>
      <c r="H30" s="39" t="s">
        <v>100</v>
      </c>
    </row>
    <row r="31" spans="1:8" ht="12.75">
      <c r="A31" s="64" t="s">
        <v>68</v>
      </c>
      <c r="B31" s="66" t="s">
        <v>69</v>
      </c>
      <c r="C31" s="77">
        <v>115000</v>
      </c>
      <c r="D31" s="84">
        <f t="shared" si="0"/>
        <v>21850</v>
      </c>
      <c r="E31" s="85">
        <f t="shared" si="1"/>
        <v>136850</v>
      </c>
      <c r="F31" s="40" t="s">
        <v>30</v>
      </c>
      <c r="G31" s="39" t="s">
        <v>105</v>
      </c>
      <c r="H31" s="39" t="s">
        <v>100</v>
      </c>
    </row>
    <row r="32" spans="1:16" s="20" customFormat="1" ht="12.75">
      <c r="A32" s="34" t="s">
        <v>12</v>
      </c>
      <c r="B32" s="23" t="s">
        <v>44</v>
      </c>
      <c r="C32" s="77">
        <v>0</v>
      </c>
      <c r="D32" s="78">
        <f t="shared" si="0"/>
        <v>0</v>
      </c>
      <c r="E32" s="79">
        <f t="shared" si="1"/>
        <v>0</v>
      </c>
      <c r="F32" s="43" t="s">
        <v>29</v>
      </c>
      <c r="G32" s="39" t="s">
        <v>105</v>
      </c>
      <c r="H32" s="39" t="s">
        <v>100</v>
      </c>
      <c r="I32" s="26"/>
      <c r="J32" s="26"/>
      <c r="K32" s="26"/>
      <c r="L32" s="26"/>
      <c r="M32" s="26"/>
      <c r="N32" s="26"/>
      <c r="O32" s="26"/>
      <c r="P32" s="26"/>
    </row>
    <row r="33" spans="1:16" s="20" customFormat="1" ht="12.75">
      <c r="A33" s="34" t="s">
        <v>70</v>
      </c>
      <c r="B33" s="23" t="s">
        <v>11</v>
      </c>
      <c r="C33" s="77">
        <v>67787.25</v>
      </c>
      <c r="D33" s="78">
        <f t="shared" si="0"/>
        <v>12879.58</v>
      </c>
      <c r="E33" s="79">
        <f t="shared" si="1"/>
        <v>80666.83</v>
      </c>
      <c r="F33" s="43" t="s">
        <v>29</v>
      </c>
      <c r="G33" s="39" t="s">
        <v>105</v>
      </c>
      <c r="H33" s="39" t="s">
        <v>100</v>
      </c>
      <c r="I33" s="26"/>
      <c r="J33" s="26"/>
      <c r="K33" s="26"/>
      <c r="L33" s="26"/>
      <c r="M33" s="26"/>
      <c r="N33" s="26"/>
      <c r="O33" s="26"/>
      <c r="P33" s="26"/>
    </row>
    <row r="34" spans="1:8" ht="12.75">
      <c r="A34" s="57" t="s">
        <v>71</v>
      </c>
      <c r="B34" s="58" t="s">
        <v>13</v>
      </c>
      <c r="C34" s="77">
        <v>101680.88</v>
      </c>
      <c r="D34" s="86">
        <f t="shared" si="0"/>
        <v>19319.37</v>
      </c>
      <c r="E34" s="87">
        <f t="shared" si="1"/>
        <v>121000.25</v>
      </c>
      <c r="F34" s="43" t="s">
        <v>29</v>
      </c>
      <c r="G34" s="39" t="s">
        <v>105</v>
      </c>
      <c r="H34" s="39" t="s">
        <v>100</v>
      </c>
    </row>
    <row r="35" spans="1:7" ht="15.75" thickBot="1">
      <c r="A35" s="59"/>
      <c r="B35" s="60" t="s">
        <v>35</v>
      </c>
      <c r="C35" s="88">
        <f>_xlfn.SUMIFS(C21:C34,$F$21:$F$34,"&lt;&gt;")</f>
        <v>342968.13</v>
      </c>
      <c r="D35" s="88">
        <f>_xlfn.SUMIFS(D21:D34,$F$21:$F$34,"&lt;&gt;")</f>
        <v>65163.95</v>
      </c>
      <c r="E35" s="89">
        <f>_xlfn.SUMIFS(E21:E34,$F$21:$F$34,"&lt;&gt;")</f>
        <v>408132.08</v>
      </c>
      <c r="F35" s="40"/>
      <c r="G35" s="39"/>
    </row>
    <row r="36" spans="1:7" ht="14.25">
      <c r="A36" s="128" t="s">
        <v>45</v>
      </c>
      <c r="B36" s="129"/>
      <c r="C36" s="129"/>
      <c r="D36" s="129"/>
      <c r="E36" s="130"/>
      <c r="F36" s="40"/>
      <c r="G36" s="39"/>
    </row>
    <row r="37" spans="1:7" ht="12.75">
      <c r="A37" s="33" t="s">
        <v>14</v>
      </c>
      <c r="B37" s="23" t="s">
        <v>101</v>
      </c>
      <c r="C37" s="78">
        <f>C38+C39</f>
        <v>6253725</v>
      </c>
      <c r="D37" s="78">
        <f>D38+D39</f>
        <v>1188207.75</v>
      </c>
      <c r="E37" s="79">
        <f>E38+E39</f>
        <v>7441932.75</v>
      </c>
      <c r="F37" s="40"/>
      <c r="G37" s="39"/>
    </row>
    <row r="38" spans="1:8" ht="12.75">
      <c r="A38" s="52" t="str">
        <f>A37&amp;".1"</f>
        <v>4.1.1</v>
      </c>
      <c r="B38" s="51" t="s">
        <v>102</v>
      </c>
      <c r="C38" s="77">
        <v>6253725</v>
      </c>
      <c r="D38" s="82">
        <f>ROUND(0.19*C38,2)</f>
        <v>1188207.75</v>
      </c>
      <c r="E38" s="83">
        <f>D38+C38</f>
        <v>7441932.75</v>
      </c>
      <c r="F38" s="40" t="s">
        <v>30</v>
      </c>
      <c r="G38" s="39" t="s">
        <v>105</v>
      </c>
      <c r="H38" s="39" t="s">
        <v>105</v>
      </c>
    </row>
    <row r="39" spans="1:8" ht="12.75">
      <c r="A39" s="52" t="str">
        <f>A37&amp;".2"</f>
        <v>4.1.2</v>
      </c>
      <c r="B39" s="11" t="s">
        <v>103</v>
      </c>
      <c r="C39" s="77">
        <v>0</v>
      </c>
      <c r="D39" s="82">
        <f>ROUND(0.19*C39,2)</f>
        <v>0</v>
      </c>
      <c r="E39" s="83">
        <f>D39+C39</f>
        <v>0</v>
      </c>
      <c r="F39" s="40" t="s">
        <v>30</v>
      </c>
      <c r="G39" s="39" t="s">
        <v>100</v>
      </c>
      <c r="H39" s="39" t="s">
        <v>105</v>
      </c>
    </row>
    <row r="40" spans="1:8" ht="12.75">
      <c r="A40" s="33" t="s">
        <v>15</v>
      </c>
      <c r="B40" s="23" t="s">
        <v>72</v>
      </c>
      <c r="C40" s="78">
        <f>C41+C42</f>
        <v>25000</v>
      </c>
      <c r="D40" s="78">
        <f>D41+D42</f>
        <v>4750</v>
      </c>
      <c r="E40" s="79">
        <f>E41+E42</f>
        <v>29750</v>
      </c>
      <c r="F40" s="40"/>
      <c r="G40" s="39"/>
      <c r="H40" s="39"/>
    </row>
    <row r="41" spans="1:8" ht="12.75">
      <c r="A41" s="52" t="str">
        <f>A40&amp;".1"</f>
        <v>4.2.1</v>
      </c>
      <c r="B41" s="51" t="s">
        <v>102</v>
      </c>
      <c r="C41" s="77">
        <v>0</v>
      </c>
      <c r="D41" s="82">
        <f>ROUND(0.19*C41,2)</f>
        <v>0</v>
      </c>
      <c r="E41" s="83">
        <f>D41+C41</f>
        <v>0</v>
      </c>
      <c r="F41" s="40" t="s">
        <v>30</v>
      </c>
      <c r="G41" s="39" t="s">
        <v>105</v>
      </c>
      <c r="H41" s="39" t="s">
        <v>105</v>
      </c>
    </row>
    <row r="42" spans="1:8" ht="12.75">
      <c r="A42" s="52" t="str">
        <f>A40&amp;".2"</f>
        <v>4.2.2</v>
      </c>
      <c r="B42" s="11" t="s">
        <v>103</v>
      </c>
      <c r="C42" s="77">
        <v>25000</v>
      </c>
      <c r="D42" s="82">
        <f>ROUND(0.19*C42,2)</f>
        <v>4750</v>
      </c>
      <c r="E42" s="83">
        <f>D42+C42</f>
        <v>29750</v>
      </c>
      <c r="F42" s="40" t="s">
        <v>30</v>
      </c>
      <c r="G42" s="39" t="s">
        <v>100</v>
      </c>
      <c r="H42" s="39" t="s">
        <v>105</v>
      </c>
    </row>
    <row r="43" spans="1:8" ht="25.5">
      <c r="A43" s="33" t="s">
        <v>16</v>
      </c>
      <c r="B43" s="23" t="s">
        <v>73</v>
      </c>
      <c r="C43" s="78">
        <f>C44+C45</f>
        <v>500000</v>
      </c>
      <c r="D43" s="78">
        <f>D44+D45</f>
        <v>95000</v>
      </c>
      <c r="E43" s="79">
        <f>E44+E45</f>
        <v>595000</v>
      </c>
      <c r="F43" s="40"/>
      <c r="G43" s="39"/>
      <c r="H43" s="39"/>
    </row>
    <row r="44" spans="1:8" ht="12.75">
      <c r="A44" s="52" t="str">
        <f>A43&amp;".1"</f>
        <v>4.3.1</v>
      </c>
      <c r="B44" s="51" t="s">
        <v>102</v>
      </c>
      <c r="C44" s="77">
        <v>0</v>
      </c>
      <c r="D44" s="82">
        <f>ROUND(0.19*C44,2)</f>
        <v>0</v>
      </c>
      <c r="E44" s="83">
        <f>D44+C44</f>
        <v>0</v>
      </c>
      <c r="F44" s="40" t="s">
        <v>30</v>
      </c>
      <c r="G44" s="39" t="s">
        <v>105</v>
      </c>
      <c r="H44" s="39" t="s">
        <v>100</v>
      </c>
    </row>
    <row r="45" spans="1:8" ht="12.75">
      <c r="A45" s="52" t="str">
        <f>A43&amp;".2"</f>
        <v>4.3.2</v>
      </c>
      <c r="B45" s="11" t="s">
        <v>103</v>
      </c>
      <c r="C45" s="77">
        <v>500000</v>
      </c>
      <c r="D45" s="82">
        <f>ROUND(0.19*C45,2)</f>
        <v>95000</v>
      </c>
      <c r="E45" s="83">
        <f>D45+C45</f>
        <v>595000</v>
      </c>
      <c r="F45" s="40" t="s">
        <v>30</v>
      </c>
      <c r="G45" s="39" t="s">
        <v>100</v>
      </c>
      <c r="H45" s="39" t="s">
        <v>100</v>
      </c>
    </row>
    <row r="46" spans="1:16" s="25" customFormat="1" ht="25.5">
      <c r="A46" s="33" t="s">
        <v>17</v>
      </c>
      <c r="B46" s="23" t="s">
        <v>74</v>
      </c>
      <c r="C46" s="78">
        <f>C47+C48</f>
        <v>0</v>
      </c>
      <c r="D46" s="78">
        <f>D47+D48</f>
        <v>0</v>
      </c>
      <c r="E46" s="79">
        <f>E47+E48</f>
        <v>0</v>
      </c>
      <c r="F46" s="41"/>
      <c r="G46" s="39"/>
      <c r="H46" s="39"/>
      <c r="I46" s="27"/>
      <c r="J46" s="27"/>
      <c r="K46" s="27"/>
      <c r="L46" s="27"/>
      <c r="M46" s="27"/>
      <c r="N46" s="27"/>
      <c r="O46" s="27"/>
      <c r="P46" s="27"/>
    </row>
    <row r="47" spans="1:8" ht="12.75">
      <c r="A47" s="52" t="str">
        <f>A46&amp;".1"</f>
        <v>4.4.1</v>
      </c>
      <c r="B47" s="51" t="s">
        <v>102</v>
      </c>
      <c r="C47" s="77">
        <v>0</v>
      </c>
      <c r="D47" s="82">
        <f>ROUND(0.19*C47,2)</f>
        <v>0</v>
      </c>
      <c r="E47" s="83">
        <f>D47+C47</f>
        <v>0</v>
      </c>
      <c r="F47" s="40" t="s">
        <v>30</v>
      </c>
      <c r="G47" s="39" t="s">
        <v>105</v>
      </c>
      <c r="H47" s="39" t="s">
        <v>100</v>
      </c>
    </row>
    <row r="48" spans="1:8" ht="12.75">
      <c r="A48" s="52" t="str">
        <f>A46&amp;".2"</f>
        <v>4.4.2</v>
      </c>
      <c r="B48" s="11" t="s">
        <v>103</v>
      </c>
      <c r="C48" s="77">
        <v>0</v>
      </c>
      <c r="D48" s="82">
        <f>ROUND(0.19*C48,2)</f>
        <v>0</v>
      </c>
      <c r="E48" s="83">
        <f>D48+C48</f>
        <v>0</v>
      </c>
      <c r="F48" s="40" t="s">
        <v>30</v>
      </c>
      <c r="G48" s="39" t="s">
        <v>100</v>
      </c>
      <c r="H48" s="39" t="s">
        <v>100</v>
      </c>
    </row>
    <row r="49" spans="1:8" ht="12.75">
      <c r="A49" s="33" t="s">
        <v>18</v>
      </c>
      <c r="B49" s="23" t="s">
        <v>46</v>
      </c>
      <c r="C49" s="78">
        <f>C50+C51</f>
        <v>0</v>
      </c>
      <c r="D49" s="78">
        <f>D50+D51</f>
        <v>0</v>
      </c>
      <c r="E49" s="79">
        <f>E50+E51</f>
        <v>0</v>
      </c>
      <c r="F49" s="40"/>
      <c r="G49" s="39"/>
      <c r="H49" s="39"/>
    </row>
    <row r="50" spans="1:8" ht="12.75">
      <c r="A50" s="52" t="str">
        <f>A49&amp;".1"</f>
        <v>4.5.1</v>
      </c>
      <c r="B50" s="51" t="s">
        <v>102</v>
      </c>
      <c r="C50" s="77">
        <v>0</v>
      </c>
      <c r="D50" s="82">
        <f>ROUND(0.19*C50,2)</f>
        <v>0</v>
      </c>
      <c r="E50" s="83">
        <f>D50+C50</f>
        <v>0</v>
      </c>
      <c r="F50" s="40" t="s">
        <v>30</v>
      </c>
      <c r="G50" s="39" t="s">
        <v>105</v>
      </c>
      <c r="H50" s="39" t="s">
        <v>100</v>
      </c>
    </row>
    <row r="51" spans="1:8" ht="12.75">
      <c r="A51" s="52" t="str">
        <f>A49&amp;".2"</f>
        <v>4.5.2</v>
      </c>
      <c r="B51" s="11" t="s">
        <v>103</v>
      </c>
      <c r="C51" s="77">
        <v>0</v>
      </c>
      <c r="D51" s="82">
        <f>ROUND(0.19*C51,2)</f>
        <v>0</v>
      </c>
      <c r="E51" s="83">
        <f>D51+C51</f>
        <v>0</v>
      </c>
      <c r="F51" s="40" t="s">
        <v>30</v>
      </c>
      <c r="G51" s="39" t="s">
        <v>100</v>
      </c>
      <c r="H51" s="39" t="s">
        <v>100</v>
      </c>
    </row>
    <row r="52" spans="1:8" ht="12.75">
      <c r="A52" s="33" t="s">
        <v>26</v>
      </c>
      <c r="B52" s="23" t="s">
        <v>27</v>
      </c>
      <c r="C52" s="78">
        <f>C53+C54</f>
        <v>0</v>
      </c>
      <c r="D52" s="78">
        <f>D53+D54</f>
        <v>0</v>
      </c>
      <c r="E52" s="79">
        <f>E53+E54</f>
        <v>0</v>
      </c>
      <c r="F52" s="40"/>
      <c r="G52" s="39"/>
      <c r="H52" s="39"/>
    </row>
    <row r="53" spans="1:8" ht="12.75">
      <c r="A53" s="52" t="str">
        <f>A52&amp;".1"</f>
        <v>4.6.1</v>
      </c>
      <c r="B53" s="51" t="s">
        <v>102</v>
      </c>
      <c r="C53" s="77">
        <v>0</v>
      </c>
      <c r="D53" s="82">
        <f>ROUND(0.19*C53,2)</f>
        <v>0</v>
      </c>
      <c r="E53" s="83">
        <f>D53+C53</f>
        <v>0</v>
      </c>
      <c r="F53" s="40" t="s">
        <v>30</v>
      </c>
      <c r="G53" s="39" t="s">
        <v>105</v>
      </c>
      <c r="H53" s="39" t="s">
        <v>100</v>
      </c>
    </row>
    <row r="54" spans="1:8" ht="12.75">
      <c r="A54" s="52" t="str">
        <f>A52&amp;".2"</f>
        <v>4.6.2</v>
      </c>
      <c r="B54" s="11" t="s">
        <v>103</v>
      </c>
      <c r="C54" s="77">
        <v>0</v>
      </c>
      <c r="D54" s="82">
        <f>ROUND(0.19*C54,2)</f>
        <v>0</v>
      </c>
      <c r="E54" s="83">
        <f>D54+C54</f>
        <v>0</v>
      </c>
      <c r="F54" s="40" t="s">
        <v>30</v>
      </c>
      <c r="G54" s="39" t="s">
        <v>100</v>
      </c>
      <c r="H54" s="39" t="s">
        <v>100</v>
      </c>
    </row>
    <row r="55" spans="1:8" ht="15" thickBot="1">
      <c r="A55" s="53"/>
      <c r="B55" s="60" t="s">
        <v>34</v>
      </c>
      <c r="C55" s="88">
        <f>_xlfn.SUMIFS(C37:C54,$F$37:$F$54,"&lt;&gt;")</f>
        <v>6778725</v>
      </c>
      <c r="D55" s="88">
        <f>_xlfn.SUMIFS(D37:D54,$F$37:$F$54,"&lt;&gt;")</f>
        <v>1287957.75</v>
      </c>
      <c r="E55" s="89">
        <f>_xlfn.SUMIFS(E37:E54,$F$37:$F$54,"&lt;&gt;")</f>
        <v>8066682.75</v>
      </c>
      <c r="F55" s="40"/>
      <c r="G55" s="39"/>
      <c r="H55" s="39"/>
    </row>
    <row r="56" spans="1:8" ht="14.25">
      <c r="A56" s="115" t="s">
        <v>19</v>
      </c>
      <c r="B56" s="116"/>
      <c r="C56" s="116"/>
      <c r="D56" s="116"/>
      <c r="E56" s="117"/>
      <c r="F56" s="40"/>
      <c r="G56" s="39"/>
      <c r="H56" s="39"/>
    </row>
    <row r="57" spans="1:8" ht="12.75">
      <c r="A57" s="33" t="s">
        <v>20</v>
      </c>
      <c r="B57" s="48" t="s">
        <v>89</v>
      </c>
      <c r="C57" s="78">
        <f>C58+C59</f>
        <v>155910.68</v>
      </c>
      <c r="D57" s="78">
        <f>D58+D59</f>
        <v>29623.03</v>
      </c>
      <c r="E57" s="79">
        <f>E58+E59</f>
        <v>185533.71</v>
      </c>
      <c r="F57" s="40"/>
      <c r="G57" s="39"/>
      <c r="H57" s="39"/>
    </row>
    <row r="58" spans="1:8" ht="25.5">
      <c r="A58" s="50" t="s">
        <v>33</v>
      </c>
      <c r="B58" s="51" t="s">
        <v>75</v>
      </c>
      <c r="C58" s="77">
        <v>135574.5</v>
      </c>
      <c r="D58" s="78">
        <f>ROUND(0.19*C58,2)</f>
        <v>25759.16</v>
      </c>
      <c r="E58" s="79">
        <f>D58+C58</f>
        <v>161333.66</v>
      </c>
      <c r="F58" s="40" t="s">
        <v>30</v>
      </c>
      <c r="G58" s="39" t="s">
        <v>105</v>
      </c>
      <c r="H58" s="39" t="s">
        <v>105</v>
      </c>
    </row>
    <row r="59" spans="1:8" ht="12.75">
      <c r="A59" s="50" t="s">
        <v>47</v>
      </c>
      <c r="B59" s="11" t="s">
        <v>76</v>
      </c>
      <c r="C59" s="77">
        <v>20336.18</v>
      </c>
      <c r="D59" s="78">
        <f>ROUND(0.19*C59,2)</f>
        <v>3863.87</v>
      </c>
      <c r="E59" s="79">
        <f>D59+C59</f>
        <v>24200.05</v>
      </c>
      <c r="F59" s="40" t="s">
        <v>29</v>
      </c>
      <c r="G59" s="39" t="s">
        <v>105</v>
      </c>
      <c r="H59" s="39" t="s">
        <v>100</v>
      </c>
    </row>
    <row r="60" spans="1:8" ht="12.75">
      <c r="A60" s="33" t="s">
        <v>21</v>
      </c>
      <c r="B60" s="23" t="s">
        <v>48</v>
      </c>
      <c r="C60" s="78">
        <f>SUM(C61:C65)</f>
        <v>45815.020000000004</v>
      </c>
      <c r="D60" s="78">
        <f>SUM(D61:D65)</f>
        <v>1045</v>
      </c>
      <c r="E60" s="79">
        <f>SUM(E61:E65)</f>
        <v>46860.020000000004</v>
      </c>
      <c r="F60" s="40"/>
      <c r="G60" s="39"/>
      <c r="H60" s="39"/>
    </row>
    <row r="61" spans="1:8" ht="25.5">
      <c r="A61" s="32" t="s">
        <v>77</v>
      </c>
      <c r="B61" s="21" t="s">
        <v>78</v>
      </c>
      <c r="C61" s="77">
        <v>0</v>
      </c>
      <c r="D61" s="78">
        <f>ROUND(0.19*C61,2)</f>
        <v>0</v>
      </c>
      <c r="E61" s="79">
        <f aca="true" t="shared" si="2" ref="E61:E67">D61+C61</f>
        <v>0</v>
      </c>
      <c r="F61" s="40" t="s">
        <v>29</v>
      </c>
      <c r="G61" s="39" t="s">
        <v>105</v>
      </c>
      <c r="H61" s="39" t="s">
        <v>100</v>
      </c>
    </row>
    <row r="62" spans="1:8" s="22" customFormat="1" ht="25.5">
      <c r="A62" s="32" t="s">
        <v>79</v>
      </c>
      <c r="B62" s="21" t="s">
        <v>80</v>
      </c>
      <c r="C62" s="77">
        <v>6253.73</v>
      </c>
      <c r="D62" s="78">
        <f>ROUND(0*C62,2)</f>
        <v>0</v>
      </c>
      <c r="E62" s="79">
        <f t="shared" si="2"/>
        <v>6253.73</v>
      </c>
      <c r="F62" s="40" t="s">
        <v>30</v>
      </c>
      <c r="G62" s="39" t="s">
        <v>105</v>
      </c>
      <c r="H62" s="39" t="s">
        <v>100</v>
      </c>
    </row>
    <row r="63" spans="1:8" s="22" customFormat="1" ht="38.25">
      <c r="A63" s="32" t="s">
        <v>81</v>
      </c>
      <c r="B63" s="21" t="s">
        <v>82</v>
      </c>
      <c r="C63" s="77">
        <v>31268.63</v>
      </c>
      <c r="D63" s="78">
        <f>ROUND(0*C63,2)</f>
        <v>0</v>
      </c>
      <c r="E63" s="79">
        <f t="shared" si="2"/>
        <v>31268.63</v>
      </c>
      <c r="F63" s="40" t="s">
        <v>30</v>
      </c>
      <c r="G63" s="41" t="s">
        <v>105</v>
      </c>
      <c r="H63" s="41" t="s">
        <v>100</v>
      </c>
    </row>
    <row r="64" spans="1:8" s="22" customFormat="1" ht="12.75">
      <c r="A64" s="32" t="s">
        <v>83</v>
      </c>
      <c r="B64" s="21" t="s">
        <v>84</v>
      </c>
      <c r="C64" s="77">
        <v>2792.66</v>
      </c>
      <c r="D64" s="78">
        <f>ROUND(0*C64,2)</f>
        <v>0</v>
      </c>
      <c r="E64" s="79">
        <f t="shared" si="2"/>
        <v>2792.66</v>
      </c>
      <c r="F64" s="40" t="s">
        <v>30</v>
      </c>
      <c r="G64" s="39" t="s">
        <v>105</v>
      </c>
      <c r="H64" s="39" t="s">
        <v>100</v>
      </c>
    </row>
    <row r="65" spans="1:8" ht="25.5">
      <c r="A65" s="32" t="s">
        <v>85</v>
      </c>
      <c r="B65" s="21" t="s">
        <v>86</v>
      </c>
      <c r="C65" s="77">
        <v>5500</v>
      </c>
      <c r="D65" s="78">
        <f>ROUND(0.19*C65,2)</f>
        <v>1045</v>
      </c>
      <c r="E65" s="79">
        <f t="shared" si="2"/>
        <v>6545</v>
      </c>
      <c r="F65" s="40" t="s">
        <v>29</v>
      </c>
      <c r="G65" s="41" t="s">
        <v>105</v>
      </c>
      <c r="H65" s="41" t="s">
        <v>100</v>
      </c>
    </row>
    <row r="66" spans="1:8" ht="12.75">
      <c r="A66" s="33" t="s">
        <v>22</v>
      </c>
      <c r="B66" s="23" t="s">
        <v>31</v>
      </c>
      <c r="C66" s="77">
        <v>338936.25</v>
      </c>
      <c r="D66" s="78">
        <f>ROUND(0.19*C66,2)</f>
        <v>64397.89</v>
      </c>
      <c r="E66" s="79">
        <f t="shared" si="2"/>
        <v>403334.14</v>
      </c>
      <c r="F66" s="40" t="s">
        <v>30</v>
      </c>
      <c r="G66" s="39" t="s">
        <v>105</v>
      </c>
      <c r="H66" s="39" t="s">
        <v>100</v>
      </c>
    </row>
    <row r="67" spans="1:8" ht="12.75">
      <c r="A67" s="34" t="s">
        <v>87</v>
      </c>
      <c r="B67" s="23" t="s">
        <v>88</v>
      </c>
      <c r="C67" s="77">
        <v>10000</v>
      </c>
      <c r="D67" s="78">
        <f>ROUND(0.19*C67,2)</f>
        <v>1900</v>
      </c>
      <c r="E67" s="79">
        <f t="shared" si="2"/>
        <v>11900</v>
      </c>
      <c r="F67" s="40" t="s">
        <v>29</v>
      </c>
      <c r="G67" s="39" t="s">
        <v>105</v>
      </c>
      <c r="H67" s="39" t="s">
        <v>100</v>
      </c>
    </row>
    <row r="68" spans="1:8" ht="15" thickBot="1">
      <c r="A68" s="53"/>
      <c r="B68" s="63" t="s">
        <v>36</v>
      </c>
      <c r="C68" s="88">
        <f>_xlfn.SUMIFS(C57:C67,$F$57:$F$67,"&lt;&gt;")</f>
        <v>550661.95</v>
      </c>
      <c r="D68" s="88">
        <f>_xlfn.SUMIFS(D57:D67,$F$57:$F$67,"&lt;&gt;")</f>
        <v>96965.92</v>
      </c>
      <c r="E68" s="89">
        <f>_xlfn.SUMIFS(E57:E67,$F$57:$F$67,"&lt;&gt;")</f>
        <v>647627.87</v>
      </c>
      <c r="F68" s="40"/>
      <c r="G68" s="39"/>
      <c r="H68" s="39"/>
    </row>
    <row r="69" spans="1:8" ht="14.25">
      <c r="A69" s="115" t="s">
        <v>90</v>
      </c>
      <c r="B69" s="116"/>
      <c r="C69" s="116"/>
      <c r="D69" s="116"/>
      <c r="E69" s="117"/>
      <c r="F69" s="40"/>
      <c r="G69" s="39"/>
      <c r="H69" s="39"/>
    </row>
    <row r="70" spans="1:8" ht="12.75">
      <c r="A70" s="33" t="s">
        <v>23</v>
      </c>
      <c r="B70" s="23" t="s">
        <v>91</v>
      </c>
      <c r="C70" s="77">
        <v>0</v>
      </c>
      <c r="D70" s="78">
        <f>0.19*C70</f>
        <v>0</v>
      </c>
      <c r="E70" s="79">
        <f>C70*1.19</f>
        <v>0</v>
      </c>
      <c r="F70" s="40" t="s">
        <v>29</v>
      </c>
      <c r="G70" s="39" t="s">
        <v>105</v>
      </c>
      <c r="H70" s="39" t="s">
        <v>100</v>
      </c>
    </row>
    <row r="71" spans="1:8" ht="12.75">
      <c r="A71" s="33" t="s">
        <v>24</v>
      </c>
      <c r="B71" s="23" t="s">
        <v>49</v>
      </c>
      <c r="C71" s="77">
        <v>0</v>
      </c>
      <c r="D71" s="78">
        <f>ROUND(0.19*C71,2)</f>
        <v>0</v>
      </c>
      <c r="E71" s="79">
        <f>D71+C71</f>
        <v>0</v>
      </c>
      <c r="F71" s="40" t="s">
        <v>30</v>
      </c>
      <c r="G71" s="39" t="s">
        <v>105</v>
      </c>
      <c r="H71" s="39" t="s">
        <v>100</v>
      </c>
    </row>
    <row r="72" spans="1:7" ht="15" thickBot="1">
      <c r="A72" s="53"/>
      <c r="B72" s="60" t="s">
        <v>37</v>
      </c>
      <c r="C72" s="88">
        <f>_xlfn.SUMIFS(C70:C71,$F$70:$F$71,"&lt;&gt;")</f>
        <v>0</v>
      </c>
      <c r="D72" s="88">
        <f>_xlfn.SUMIFS(D70:D71,$F$70:$F$71,"&lt;&gt;")</f>
        <v>0</v>
      </c>
      <c r="E72" s="89">
        <f>_xlfn.SUMIFS(E70:E71,$F$70:$F$71,"&lt;&gt;")</f>
        <v>0</v>
      </c>
      <c r="F72" s="40"/>
      <c r="G72" s="39"/>
    </row>
    <row r="73" spans="1:7" ht="16.5" thickBot="1">
      <c r="A73" s="90"/>
      <c r="B73" s="91" t="s">
        <v>32</v>
      </c>
      <c r="C73" s="104">
        <f>_xlfn.SUMIFS(C12:C72,$F$12:$F$72,"&lt;&gt;")</f>
        <v>7697855.08</v>
      </c>
      <c r="D73" s="104">
        <f>_xlfn.SUMIFS(D12:D72,$F$12:$F$72,"&lt;&gt;")</f>
        <v>1454932.6199999999</v>
      </c>
      <c r="E73" s="105">
        <f>_xlfn.SUMIFS(E12:E72,$F$12:$F$72,"&lt;&gt;")</f>
        <v>9152787.700000003</v>
      </c>
      <c r="F73" s="40"/>
      <c r="G73" s="39"/>
    </row>
    <row r="74" spans="1:7" ht="29.25" thickBot="1">
      <c r="A74" s="92"/>
      <c r="B74" s="93" t="s">
        <v>92</v>
      </c>
      <c r="C74" s="104">
        <f>_xlfn.SUMIFS(C12:C72,$H$12:$H$72,"da")</f>
        <v>6439799.5</v>
      </c>
      <c r="D74" s="104">
        <f>_xlfn.SUMIFS(D12:D72,$H$12:$H$72,"da")</f>
        <v>1223561.91</v>
      </c>
      <c r="E74" s="105">
        <f>_xlfn.SUMIFS(E12:E72,$H$12:$H$72,"da")</f>
        <v>7663361.41</v>
      </c>
      <c r="F74" s="40"/>
      <c r="G74" s="39"/>
    </row>
    <row r="75" spans="1:6" ht="12.75">
      <c r="A75" s="54"/>
      <c r="B75" s="55"/>
      <c r="C75" s="56"/>
      <c r="D75" s="56"/>
      <c r="E75" s="56"/>
      <c r="F75" s="3"/>
    </row>
    <row r="76" spans="1:6" ht="12.75">
      <c r="A76" s="54"/>
      <c r="B76" s="55"/>
      <c r="C76" s="56"/>
      <c r="D76" s="56"/>
      <c r="E76" s="56"/>
      <c r="F76" s="3"/>
    </row>
    <row r="77" spans="1:6" ht="12.75">
      <c r="A77" s="54"/>
      <c r="B77" s="55"/>
      <c r="C77" s="56"/>
      <c r="D77" s="56"/>
      <c r="E77" s="56"/>
      <c r="F77" s="3"/>
    </row>
    <row r="78" spans="1:6" ht="15.75">
      <c r="A78" s="54"/>
      <c r="B78" s="94" t="s">
        <v>98</v>
      </c>
      <c r="C78" s="96">
        <f>E73</f>
        <v>9152787.700000003</v>
      </c>
      <c r="D78" s="56"/>
      <c r="E78" s="56"/>
      <c r="F78" s="3"/>
    </row>
    <row r="79" spans="1:6" ht="15.75">
      <c r="A79" s="54"/>
      <c r="B79" s="95" t="s">
        <v>30</v>
      </c>
      <c r="C79" s="96">
        <v>8850760.55</v>
      </c>
      <c r="D79" s="56"/>
      <c r="E79" s="56"/>
      <c r="F79" s="3"/>
    </row>
    <row r="80" spans="1:6" ht="15.75">
      <c r="A80" s="54"/>
      <c r="B80" s="95" t="s">
        <v>29</v>
      </c>
      <c r="C80" s="112">
        <f>C78-C79</f>
        <v>302027.15000000224</v>
      </c>
      <c r="D80" s="56"/>
      <c r="E80" s="56"/>
      <c r="F80" s="3"/>
    </row>
    <row r="81" spans="1:6" ht="12.75">
      <c r="A81" s="6"/>
      <c r="B81" s="12"/>
      <c r="C81" s="12"/>
      <c r="D81" s="2"/>
      <c r="E81" s="2"/>
      <c r="F81" s="3"/>
    </row>
    <row r="82" spans="1:6" ht="31.5">
      <c r="A82" s="6"/>
      <c r="B82" s="106" t="s">
        <v>113</v>
      </c>
      <c r="C82" s="107" t="s">
        <v>108</v>
      </c>
      <c r="D82" s="107" t="s">
        <v>109</v>
      </c>
      <c r="E82" s="98"/>
      <c r="F82" s="99"/>
    </row>
    <row r="83" spans="1:6" ht="15.75">
      <c r="A83" s="6"/>
      <c r="B83" s="95" t="s">
        <v>110</v>
      </c>
      <c r="C83" s="110">
        <f>_xlfn.SUMIFS(C37:C54,G37:G54,"=da")</f>
        <v>6253725</v>
      </c>
      <c r="D83" s="110">
        <f>_xlfn.SUMIFS(C37:C54,G37:G54,"=nu")</f>
        <v>525000</v>
      </c>
      <c r="E83" s="98"/>
      <c r="F83" s="99"/>
    </row>
    <row r="84" spans="1:7" ht="15.75">
      <c r="A84" s="6"/>
      <c r="B84" s="95" t="s">
        <v>111</v>
      </c>
      <c r="C84" s="110">
        <f>C83/(C83+D83)*(_xlfn.SUMIFS(C13:C71,G13:G71,"=da")-C83)+C83</f>
        <v>7101670.11645597</v>
      </c>
      <c r="D84" s="110">
        <f>C73-C84</f>
        <v>596184.9635440297</v>
      </c>
      <c r="E84" s="98"/>
      <c r="F84" s="99"/>
      <c r="G84" s="111"/>
    </row>
    <row r="85" spans="1:6" ht="15.75">
      <c r="A85" s="6"/>
      <c r="B85" s="95" t="s">
        <v>119</v>
      </c>
      <c r="C85" s="110" t="s">
        <v>123</v>
      </c>
      <c r="D85" s="110"/>
      <c r="E85" s="98"/>
      <c r="F85" s="99"/>
    </row>
    <row r="86" spans="1:6" ht="15.75">
      <c r="A86" s="6"/>
      <c r="B86" s="95" t="s">
        <v>120</v>
      </c>
      <c r="C86" s="110" t="s">
        <v>123</v>
      </c>
      <c r="D86" s="110"/>
      <c r="E86" s="98"/>
      <c r="F86" s="99"/>
    </row>
    <row r="87" spans="1:6" ht="15.75">
      <c r="A87" s="6"/>
      <c r="B87" s="95" t="s">
        <v>121</v>
      </c>
      <c r="C87" s="110" t="s">
        <v>123</v>
      </c>
      <c r="D87" s="110"/>
      <c r="E87" s="98"/>
      <c r="F87" s="99"/>
    </row>
    <row r="88" spans="1:6" ht="26.25" customHeight="1">
      <c r="A88" s="6"/>
      <c r="B88" s="114" t="s">
        <v>122</v>
      </c>
      <c r="C88" s="110" t="s">
        <v>123</v>
      </c>
      <c r="D88" s="110"/>
      <c r="E88" s="98"/>
      <c r="F88" s="99"/>
    </row>
    <row r="89" spans="1:6" ht="15.75">
      <c r="A89" s="6"/>
      <c r="D89" s="97"/>
      <c r="E89" s="97"/>
      <c r="F89" s="100"/>
    </row>
    <row r="90" spans="1:6" ht="15.75">
      <c r="A90" s="7"/>
      <c r="B90" s="95" t="s">
        <v>106</v>
      </c>
      <c r="C90" s="108">
        <v>44811</v>
      </c>
      <c r="D90" s="101"/>
      <c r="E90" s="101"/>
      <c r="F90" s="100"/>
    </row>
    <row r="91" spans="1:6" ht="15.75">
      <c r="A91" s="13"/>
      <c r="B91" s="95" t="s">
        <v>107</v>
      </c>
      <c r="C91" s="109">
        <v>4.858</v>
      </c>
      <c r="D91" s="97"/>
      <c r="E91" s="97"/>
      <c r="F91" s="100"/>
    </row>
    <row r="92" spans="1:5" ht="63">
      <c r="A92" s="13"/>
      <c r="B92" s="132" t="s">
        <v>124</v>
      </c>
      <c r="C92" s="131" t="s">
        <v>125</v>
      </c>
      <c r="D92" s="98"/>
      <c r="E92" s="98"/>
    </row>
    <row r="93" spans="1:3" ht="64.5" customHeight="1">
      <c r="A93" s="13"/>
      <c r="B93" s="132" t="s">
        <v>126</v>
      </c>
      <c r="C93" s="131" t="s">
        <v>127</v>
      </c>
    </row>
    <row r="94" spans="1:5" ht="12.75">
      <c r="A94" s="13"/>
      <c r="B94" s="14"/>
      <c r="C94" s="15"/>
      <c r="D94" s="16"/>
      <c r="E94" s="16"/>
    </row>
    <row r="95" spans="1:5" ht="12.75">
      <c r="A95" s="13"/>
      <c r="B95" s="14"/>
      <c r="C95" s="15"/>
      <c r="D95" s="16"/>
      <c r="E95" s="16"/>
    </row>
    <row r="96" spans="1:5" ht="15.75">
      <c r="A96" s="18"/>
      <c r="B96" s="102" t="s">
        <v>25</v>
      </c>
      <c r="C96" s="15"/>
      <c r="D96" s="16"/>
      <c r="E96" s="103"/>
    </row>
    <row r="97" spans="1:5" ht="15.75">
      <c r="A97" s="17"/>
      <c r="B97" s="113" t="s">
        <v>117</v>
      </c>
      <c r="C97" s="17"/>
      <c r="D97" s="17"/>
      <c r="E97" s="17"/>
    </row>
    <row r="98" spans="1:5" ht="12.75">
      <c r="A98" s="17"/>
      <c r="B98" s="17"/>
      <c r="C98" s="17"/>
      <c r="D98" s="17"/>
      <c r="E98" s="17"/>
    </row>
    <row r="99" spans="1:5" ht="12.75">
      <c r="A99" s="17"/>
      <c r="B99" s="17"/>
      <c r="C99" s="17"/>
      <c r="D99" s="17"/>
      <c r="E99" s="17"/>
    </row>
    <row r="100" spans="1:5" ht="12.75">
      <c r="A100" s="17"/>
      <c r="B100" s="17"/>
      <c r="C100" s="17"/>
      <c r="D100" s="17"/>
      <c r="E100" s="17"/>
    </row>
    <row r="101" spans="1:5" ht="12.75">
      <c r="A101" s="17"/>
      <c r="B101" s="17"/>
      <c r="C101" s="17"/>
      <c r="D101" s="17"/>
      <c r="E101" s="17"/>
    </row>
    <row r="102" spans="1:5" ht="12.75">
      <c r="A102" s="17"/>
      <c r="B102" s="17"/>
      <c r="C102" s="17"/>
      <c r="D102" s="17"/>
      <c r="E102" s="17"/>
    </row>
    <row r="103" spans="1:5" ht="12.75">
      <c r="A103" s="17"/>
      <c r="B103" s="17"/>
      <c r="C103" s="17"/>
      <c r="D103" s="17"/>
      <c r="E103" s="17"/>
    </row>
    <row r="104" spans="1:5" ht="12.75">
      <c r="A104" s="17"/>
      <c r="B104" s="17"/>
      <c r="C104" s="17"/>
      <c r="D104" s="17"/>
      <c r="E104" s="17"/>
    </row>
  </sheetData>
  <sheetProtection/>
  <mergeCells count="11">
    <mergeCell ref="A17:E17"/>
    <mergeCell ref="A20:E20"/>
    <mergeCell ref="A11:E11"/>
    <mergeCell ref="B1:D3"/>
    <mergeCell ref="A5:E5"/>
    <mergeCell ref="A7:A9"/>
    <mergeCell ref="B7:B9"/>
    <mergeCell ref="C7:E7"/>
    <mergeCell ref="A69:E69"/>
    <mergeCell ref="A36:E36"/>
    <mergeCell ref="A56:E56"/>
  </mergeCells>
  <dataValidations count="4">
    <dataValidation type="list" allowBlank="1" showInputMessage="1" showErrorMessage="1" sqref="G53:H54 G50:H51 G18:H18 G21:H24 G26:H34 G38:H39 G41:H42 G44:H45 G47:H48 G70:H71 G12:H15 G58:H67">
      <formula1>"da,nu"</formula1>
    </dataValidation>
    <dataValidation type="date" operator="greaterThanOrEqual" allowBlank="1" showInputMessage="1" showErrorMessage="1" sqref="C90">
      <formula1>44197</formula1>
    </dataValidation>
    <dataValidation type="list" allowBlank="1" showInputMessage="1" showErrorMessage="1" sqref="F12">
      <formula1>"buget local,buget de stat"</formula1>
    </dataValidation>
    <dataValidation type="list" allowBlank="1" showInputMessage="1" showErrorMessage="1" sqref="F13:F15 F18 F21:F24 F26:F34 F38:F39 F41:F42 F44:F45 F47:F48 F50:F51 F53:F54 F58:F59 F61:F67 F70:F71">
      <formula1>"buget de stat, buget local"</formula1>
    </dataValidation>
  </dataValidations>
  <printOptions horizontalCentered="1"/>
  <pageMargins left="0.7480314960629921" right="0.34" top="0.47" bottom="0.5" header="0.34" footer="0.2"/>
  <pageSetup fitToHeight="2" fitToWidth="1" horizontalDpi="600" verticalDpi="600" orientation="portrait" paperSize="9" scale="81" r:id="rId1"/>
  <ignoredErrors>
    <ignoredError sqref="A26:A31 A58:A59 A61:A63 A64:A65" twoDigitTextYear="1"/>
    <ignoredError sqref="D25:E25 D40" formula="1"/>
    <ignoredError sqref="C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3:F15"/>
  <sheetViews>
    <sheetView zoomScalePageLayoutView="0" workbookViewId="0" topLeftCell="A1">
      <selection activeCell="F14" sqref="F14"/>
    </sheetView>
  </sheetViews>
  <sheetFormatPr defaultColWidth="9.140625" defaultRowHeight="12.75"/>
  <cols>
    <col min="3" max="3" width="11.7109375" style="0" customWidth="1"/>
    <col min="4" max="4" width="11.00390625" style="0" bestFit="1" customWidth="1"/>
    <col min="5" max="5" width="10.00390625" style="0" bestFit="1" customWidth="1"/>
  </cols>
  <sheetData>
    <row r="13" spans="2:3" ht="12.75">
      <c r="B13" t="s">
        <v>114</v>
      </c>
      <c r="C13" t="s">
        <v>115</v>
      </c>
    </row>
    <row r="14" spans="1:6" ht="12.75">
      <c r="A14">
        <v>18627070</v>
      </c>
      <c r="B14">
        <f>A14/1.19</f>
        <v>15653000</v>
      </c>
      <c r="C14">
        <f>B14/(B14+B15)</f>
        <v>0.7497365648050579</v>
      </c>
      <c r="D14">
        <f>C14*24483184</f>
        <v>18355938.267650157</v>
      </c>
      <c r="E14">
        <f>D14/12.625</f>
        <v>1453935.7043683294</v>
      </c>
      <c r="F14">
        <f>E14/4.95</f>
        <v>293724.3847208746</v>
      </c>
    </row>
    <row r="15" spans="1:3" ht="12.75">
      <c r="A15">
        <v>6217750</v>
      </c>
      <c r="B15">
        <f>A15/1.19</f>
        <v>5225000</v>
      </c>
      <c r="C15">
        <f>B15/(B14+B15)</f>
        <v>0.25026343519494204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constantinescue</dc:creator>
  <cp:keywords/>
  <dc:description/>
  <cp:lastModifiedBy>Sergiu Boros</cp:lastModifiedBy>
  <cp:lastPrinted>2022-09-09T09:06:05Z</cp:lastPrinted>
  <dcterms:created xsi:type="dcterms:W3CDTF">2010-01-11T12:40:54Z</dcterms:created>
  <dcterms:modified xsi:type="dcterms:W3CDTF">2022-09-09T09:49:38Z</dcterms:modified>
  <cp:category/>
  <cp:version/>
  <cp:contentType/>
  <cp:contentStatus/>
</cp:coreProperties>
</file>