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50" windowHeight="12060" activeTab="0"/>
  </bookViews>
  <sheets>
    <sheet name="functionare" sheetId="1" r:id="rId1"/>
    <sheet name="dezvoltare" sheetId="2" r:id="rId2"/>
  </sheets>
  <definedNames>
    <definedName name="_xlnm.Print_Area" localSheetId="1">'dezvoltare'!$A$1:$L$184</definedName>
  </definedNames>
  <calcPr fullCalcOnLoad="1"/>
</workbook>
</file>

<file path=xl/sharedStrings.xml><?xml version="1.0" encoding="utf-8"?>
<sst xmlns="http://schemas.openxmlformats.org/spreadsheetml/2006/main" count="728" uniqueCount="300">
  <si>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</si>
  <si>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</si>
  <si>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</si>
  <si>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</si>
  <si>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</si>
  <si>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</si>
  <si>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</si>
  <si>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</si>
  <si>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</si>
  <si>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</si>
  <si>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</si>
  <si>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</si>
  <si>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</si>
  <si>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</si>
  <si>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</si>
  <si>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</si>
  <si>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</si>
  <si>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</si>
  <si>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</si>
  <si>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</si>
  <si>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</si>
  <si>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</si>
  <si>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</si>
  <si>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</si>
  <si>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</si>
  <si>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</si>
  <si>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</si>
  <si>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</si>
  <si>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</si>
  <si>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</si>
  <si>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</si>
  <si>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</si>
  <si>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</si>
  <si>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</si>
  <si>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</si>
  <si>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</si>
  <si>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</si>
  <si>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</si>
  <si>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</si>
  <si>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</si>
  <si>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</si>
  <si>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</si>
  <si>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</si>
  <si>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</si>
  <si>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</si>
  <si>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</si>
  <si>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</si>
  <si>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</si>
  <si>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</si>
  <si>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</si>
  <si>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</si>
  <si>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</si>
  <si>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</si>
  <si>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</si>
  <si>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</si>
  <si>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</si>
  <si>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</si>
  <si>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</si>
  <si>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</si>
  <si>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</si>
  <si>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</si>
  <si>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</si>
  <si>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</si>
  <si>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</si>
  <si>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</si>
  <si>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</si>
  <si>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</si>
  <si>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</si>
  <si>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</si>
  <si>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</si>
  <si>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</si>
  <si>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</si>
  <si>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</si>
  <si>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</si>
  <si>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</si>
  <si>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</si>
  <si>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</si>
  <si>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</si>
  <si>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</si>
  <si>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</si>
  <si>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</si>
  <si>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</si>
  <si>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</si>
  <si>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</si>
  <si>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</si>
  <si>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</si>
  <si>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</si>
  <si>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</si>
  <si>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</si>
  <si>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</si>
  <si>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</si>
  <si>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</si>
  <si>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</si>
  <si>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</si>
  <si>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</si>
  <si>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</si>
  <si>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</si>
  <si>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</si>
  <si>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</si>
  <si>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</si>
  <si>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</si>
  <si>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</si>
  <si>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</si>
  <si>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</si>
  <si>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</si>
  <si>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</si>
  <si>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</si>
  <si>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</si>
  <si>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</si>
  <si>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</si>
  <si>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</si>
  <si>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</si>
  <si>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</si>
  <si>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</si>
  <si>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</si>
  <si>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</si>
  <si>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</si>
  <si>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</si>
  <si>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</si>
  <si>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</si>
  <si>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</si>
  <si>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</si>
  <si>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</si>
  <si>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</si>
  <si>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</si>
  <si>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</si>
  <si>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</si>
  <si>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</si>
  <si>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</si>
  <si>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</si>
  <si>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</si>
  <si>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</si>
  <si>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</si>
  <si>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</si>
  <si>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</si>
  <si>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</si>
  <si>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</si>
  <si>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</si>
  <si>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</si>
  <si>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</si>
  <si>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</si>
  <si>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</si>
  <si>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</si>
  <si>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</si>
  <si>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</si>
  <si>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</si>
  <si>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</si>
  <si>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</si>
  <si>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</si>
  <si>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</si>
  <si>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</si>
  <si>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</si>
  <si>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</si>
  <si>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</si>
  <si>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</si>
  <si>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</si>
  <si>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</si>
  <si>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</si>
  <si>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</si>
  <si>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</si>
  <si>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</si>
  <si>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</si>
  <si>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</si>
  <si>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</si>
  <si>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</si>
  <si>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</si>
  <si>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</si>
  <si>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</si>
  <si>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</si>
  <si>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</si>
  <si>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</si>
  <si>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</si>
  <si>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</si>
  <si>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</si>
  <si>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</si>
  <si>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</si>
  <si>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</si>
  <si>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</si>
  <si>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</si>
  <si>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</si>
  <si>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</si>
  <si>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</si>
  <si>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</si>
  <si>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</si>
  <si>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</si>
  <si>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</si>
  <si>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</si>
  <si>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</si>
  <si>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</si>
  <si>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</si>
  <si>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</si>
  <si>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</si>
  <si>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</si>
  <si>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</si>
  <si>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</si>
  <si>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</si>
  <si>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</si>
  <si>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</si>
  <si>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</si>
  <si>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</si>
  <si>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corelatie
 functional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</si>
  <si>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</si>
  <si>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</si>
  <si>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</si>
  <si>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</si>
  <si>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</si>
  <si>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</si>
  <si>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</si>
  <si>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</si>
  <si>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</si>
  <si>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</si>
  <si>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</si>
  <si>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</si>
  <si>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</si>
  <si>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</si>
  <si>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</si>
  <si>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</si>
  <si>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</si>
  <si>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</si>
  <si>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</si>
  <si>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</si>
  <si>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</si>
  <si>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</si>
  <si>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</si>
  <si>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</si>
  <si>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</si>
  <si>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</si>
  <si>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</si>
  <si>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</si>
  <si>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</si>
  <si>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</si>
  <si>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</si>
  <si>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</si>
  <si>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</si>
  <si>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*cheltuieli de capital                                                           (70)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</si>
  <si>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</si>
  <si>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</si>
  <si>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</si>
  <si>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</si>
  <si>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</si>
  <si>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</si>
  <si>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</si>
  <si>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</si>
  <si>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</si>
  <si>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</si>
  <si>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</si>
  <si>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</si>
  <si>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Alte cheltuieli în domeniul învățământului</t>
  </si>
  <si>
    <t>*proiecte FEN  cadru financiar 2014 - 2020                           (58)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</si>
  <si>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</si>
  <si>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</si>
  <si>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</si>
  <si>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</si>
  <si>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</si>
  <si>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</si>
  <si>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 xml:space="preserve">Total </t>
  </si>
  <si>
    <t>PRIMĂRIA MUNICIPIULUI SATU MARE</t>
  </si>
  <si>
    <t>Secretar general,</t>
  </si>
  <si>
    <t>ANEXA NR.2</t>
  </si>
  <si>
    <t>ANEXA NR.2.1</t>
  </si>
  <si>
    <t>Plăti anii precedenți (84)</t>
  </si>
  <si>
    <t>Plăți anii precedenți (84)</t>
  </si>
  <si>
    <t>CAP.51.02 AUTORITĂȚI PUBLICE</t>
  </si>
  <si>
    <t xml:space="preserve">total </t>
  </si>
  <si>
    <t>*proiecte PNRR (art.60), - sume reprezentând asistența financiară nerambursabilă  PNRR
din care:</t>
  </si>
  <si>
    <t>*proiecte PNRR (ART.61) - sume aferente componentei 
de împrumut , din care:</t>
  </si>
  <si>
    <t>*proiecte cu finanțare din sumele reprezentând 
asistența financiară nerambursabilă aferentă PNRR ( 60)</t>
  </si>
  <si>
    <t>*proiecte cu finanțare din sumele reprezentând 
componenta de împrumuturi PNRR ( 61)</t>
  </si>
  <si>
    <t>*proiecte PNRR (art.60), - sume reprezentând asistența 
financiară nerambursabilă  PNRR
din care:</t>
  </si>
  <si>
    <t>Învățământ antepreșcolar</t>
  </si>
  <si>
    <t>Învățământ secundar inferior</t>
  </si>
  <si>
    <t>Învățământ secundar superior</t>
  </si>
  <si>
    <t>Centrul Cultural G M Zamfirescu</t>
  </si>
  <si>
    <t>Case de Cultura</t>
  </si>
  <si>
    <t>Cap.65.02 Învățământ</t>
  </si>
  <si>
    <t>*proiecte FEN  cadru financiar 2014 2020        (58)</t>
  </si>
  <si>
    <t>*transferuri interne        - programe de dezvoltare                      (55)</t>
  </si>
  <si>
    <t>Asistență socială pentru familie și copii</t>
  </si>
  <si>
    <t>Cap.66.02 Sănătate</t>
  </si>
  <si>
    <t>Cap.61.02 Ordine publică și siguranță națională</t>
  </si>
  <si>
    <t>CHELTUIELI       -      la 30 SEPTEMBRIE 2023</t>
  </si>
  <si>
    <t>CHELTUIELI      -  la 30 SEPTEMBRIE  2023</t>
  </si>
  <si>
    <t xml:space="preserve">*transferuri interne  ( 55.01) - programe de dezvoltare      </t>
  </si>
  <si>
    <t xml:space="preserve">Alte cheltuieli in domeniul protectiei mediului </t>
  </si>
  <si>
    <t>74.02.50</t>
  </si>
  <si>
    <t>Dobânzi (30)</t>
  </si>
  <si>
    <t>indemnizatii asistenti personali ai persoanelor cu handicap grav</t>
  </si>
  <si>
    <t xml:space="preserve"> asistenti personali ai persoanelor cu handicap grav</t>
  </si>
  <si>
    <t>Sume aferente persoanelor cu handicap neîncadrate (59)</t>
  </si>
  <si>
    <t>Sume aferente persoanelor cu handicap neîncadrate (59), din care:</t>
  </si>
  <si>
    <t>Sume aferente persoanelor cu handicap neîncadrate (59) 
- cabinete scolare</t>
  </si>
  <si>
    <t>Tranferuri curente intre unităti (51), din care</t>
  </si>
  <si>
    <t>Intreținere gradini publice, parcuri, zone verzi, baze sportive si de agrement</t>
  </si>
  <si>
    <t>CAP.66.02   SĂNĂTATE</t>
  </si>
  <si>
    <t>CAP.65.02   ÎNVĂȚĂMÂNT</t>
  </si>
  <si>
    <t>Asistență socială (57)</t>
  </si>
  <si>
    <t>Tranferuri curente din bugetele CL și județene pentru acordarea unor ajutoare
 către unitățile administrativ - teritoriale în situații de extremă dificultate (51)</t>
  </si>
  <si>
    <t xml:space="preserve">Plăți 
efectuate </t>
  </si>
  <si>
    <t>CAP.70.02   LOCUINȚE SERVICII SI DEZVOLTARE PUBLICA</t>
  </si>
  <si>
    <t>Plăți anii precedenti (84)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</si>
</sst>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CC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" fillId="7" borderId="27" xfId="0" applyNumberFormat="1" applyFont="1" applyFill="1" applyBorder="1" applyAlignment="1">
      <alignment horizontal="right"/>
    </xf>
    <xf numFmtId="3" fontId="2" fillId="7" borderId="28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29" xfId="0" applyFont="1" applyFill="1" applyBorder="1" applyAlignment="1">
      <alignment horizontal="center" wrapText="1"/>
    </xf>
    <xf numFmtId="3" fontId="2" fillId="7" borderId="30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0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5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2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24" borderId="34" xfId="0" applyFont="1" applyFill="1" applyBorder="1" applyAlignment="1">
      <alignment horizontal="right"/>
    </xf>
    <xf numFmtId="3" fontId="2" fillId="24" borderId="25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5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6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37" xfId="0" applyFont="1" applyFill="1" applyBorder="1" applyAlignment="1">
      <alignment horizontal="center"/>
    </xf>
    <xf numFmtId="3" fontId="2" fillId="24" borderId="37" xfId="0" applyNumberFormat="1" applyFont="1" applyFill="1" applyBorder="1" applyAlignment="1">
      <alignment/>
    </xf>
    <xf numFmtId="3" fontId="33" fillId="24" borderId="37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40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5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5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0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6" xfId="0" applyFont="1" applyFill="1" applyBorder="1" applyAlignment="1">
      <alignment horizontal="right"/>
    </xf>
    <xf numFmtId="0" fontId="28" fillId="24" borderId="27" xfId="0" applyFont="1" applyFill="1" applyBorder="1" applyAlignment="1">
      <alignment horizontal="right"/>
    </xf>
    <xf numFmtId="3" fontId="24" fillId="24" borderId="27" xfId="0" applyNumberFormat="1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0" fontId="22" fillId="24" borderId="41" xfId="0" applyFont="1" applyFill="1" applyBorder="1" applyAlignment="1">
      <alignment/>
    </xf>
    <xf numFmtId="3" fontId="22" fillId="24" borderId="27" xfId="0" applyNumberFormat="1" applyFont="1" applyFill="1" applyBorder="1" applyAlignment="1">
      <alignment/>
    </xf>
    <xf numFmtId="3" fontId="36" fillId="24" borderId="27" xfId="0" applyNumberFormat="1" applyFont="1" applyFill="1" applyBorder="1" applyAlignment="1">
      <alignment/>
    </xf>
    <xf numFmtId="3" fontId="24" fillId="24" borderId="2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29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2" xfId="0" applyFont="1" applyFill="1" applyBorder="1" applyAlignment="1">
      <alignment horizontal="center"/>
    </xf>
    <xf numFmtId="3" fontId="30" fillId="22" borderId="37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8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0" xfId="0" applyNumberFormat="1" applyFont="1" applyBorder="1" applyAlignment="1">
      <alignment/>
    </xf>
    <xf numFmtId="10" fontId="2" fillId="7" borderId="30" xfId="0" applyNumberFormat="1" applyFont="1" applyFill="1" applyBorder="1" applyAlignment="1">
      <alignment horizontal="right"/>
    </xf>
    <xf numFmtId="10" fontId="2" fillId="24" borderId="36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4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0" xfId="0" applyNumberFormat="1" applyFont="1" applyFill="1" applyBorder="1" applyAlignment="1">
      <alignment/>
    </xf>
    <xf numFmtId="10" fontId="2" fillId="0" borderId="30" xfId="0" applyNumberFormat="1" applyFont="1" applyFill="1" applyBorder="1" applyAlignment="1">
      <alignment horizontal="right"/>
    </xf>
    <xf numFmtId="10" fontId="2" fillId="0" borderId="30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4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5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0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5" xfId="0" applyFont="1" applyFill="1" applyBorder="1" applyAlignment="1">
      <alignment/>
    </xf>
    <xf numFmtId="0" fontId="32" fillId="20" borderId="25" xfId="0" applyFont="1" applyFill="1" applyBorder="1" applyAlignment="1">
      <alignment horizontal="center" wrapText="1"/>
    </xf>
    <xf numFmtId="0" fontId="32" fillId="20" borderId="25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2" fillId="7" borderId="27" xfId="0" applyNumberFormat="1" applyFont="1" applyFill="1" applyBorder="1" applyAlignment="1">
      <alignment horizontal="right"/>
    </xf>
    <xf numFmtId="10" fontId="22" fillId="7" borderId="28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49" fontId="2" fillId="20" borderId="3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/>
    </xf>
    <xf numFmtId="3" fontId="2" fillId="7" borderId="41" xfId="0" applyNumberFormat="1" applyFont="1" applyFill="1" applyBorder="1" applyAlignment="1">
      <alignment horizontal="right"/>
    </xf>
    <xf numFmtId="0" fontId="27" fillId="24" borderId="34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2" xfId="0" applyNumberFormat="1" applyFont="1" applyFill="1" applyBorder="1" applyAlignment="1">
      <alignment/>
    </xf>
    <xf numFmtId="3" fontId="2" fillId="20" borderId="27" xfId="0" applyNumberFormat="1" applyFont="1" applyFill="1" applyBorder="1" applyAlignment="1">
      <alignment horizontal="center" vertical="center"/>
    </xf>
    <xf numFmtId="10" fontId="2" fillId="20" borderId="27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29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6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0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0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0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4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7" xfId="0" applyFont="1" applyFill="1" applyBorder="1" applyAlignment="1">
      <alignment horizontal="center"/>
    </xf>
    <xf numFmtId="3" fontId="2" fillId="7" borderId="48" xfId="0" applyNumberFormat="1" applyFont="1" applyFill="1" applyBorder="1" applyAlignment="1">
      <alignment horizontal="right"/>
    </xf>
    <xf numFmtId="10" fontId="2" fillId="7" borderId="49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50" xfId="0" applyFont="1" applyFill="1" applyBorder="1" applyAlignment="1">
      <alignment horizontal="center"/>
    </xf>
    <xf numFmtId="3" fontId="2" fillId="7" borderId="50" xfId="0" applyNumberFormat="1" applyFont="1" applyFill="1" applyBorder="1" applyAlignment="1">
      <alignment horizontal="right"/>
    </xf>
    <xf numFmtId="0" fontId="2" fillId="32" borderId="51" xfId="0" applyFont="1" applyFill="1" applyBorder="1" applyAlignment="1">
      <alignment horizontal="center" vertical="center"/>
    </xf>
    <xf numFmtId="3" fontId="2" fillId="32" borderId="51" xfId="0" applyNumberFormat="1" applyFont="1" applyFill="1" applyBorder="1" applyAlignment="1">
      <alignment horizontal="right" vertical="center"/>
    </xf>
    <xf numFmtId="10" fontId="2" fillId="32" borderId="51" xfId="0" applyNumberFormat="1" applyFont="1" applyFill="1" applyBorder="1" applyAlignment="1">
      <alignment horizontal="right" vertical="center"/>
    </xf>
    <xf numFmtId="10" fontId="2" fillId="7" borderId="50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5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52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53" xfId="0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30" fillId="22" borderId="54" xfId="0" applyNumberFormat="1" applyFont="1" applyFill="1" applyBorder="1" applyAlignment="1">
      <alignment/>
    </xf>
    <xf numFmtId="0" fontId="32" fillId="20" borderId="55" xfId="0" applyFont="1" applyFill="1" applyBorder="1" applyAlignment="1">
      <alignment horizontal="center" wrapText="1"/>
    </xf>
    <xf numFmtId="3" fontId="2" fillId="0" borderId="56" xfId="0" applyNumberFormat="1" applyFont="1" applyBorder="1" applyAlignment="1">
      <alignment/>
    </xf>
    <xf numFmtId="0" fontId="31" fillId="22" borderId="57" xfId="0" applyFont="1" applyFill="1" applyBorder="1" applyAlignment="1">
      <alignment horizontal="center"/>
    </xf>
    <xf numFmtId="3" fontId="30" fillId="22" borderId="58" xfId="0" applyNumberFormat="1" applyFont="1" applyFill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60" xfId="0" applyNumberFormat="1" applyFont="1" applyBorder="1" applyAlignment="1">
      <alignment/>
    </xf>
    <xf numFmtId="0" fontId="32" fillId="20" borderId="61" xfId="0" applyFont="1" applyFill="1" applyBorder="1" applyAlignment="1">
      <alignment horizontal="center" wrapText="1"/>
    </xf>
    <xf numFmtId="10" fontId="2" fillId="0" borderId="62" xfId="0" applyNumberFormat="1" applyFont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1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40" fillId="0" borderId="12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4" borderId="55" xfId="0" applyFont="1" applyFill="1" applyBorder="1" applyAlignment="1">
      <alignment horizontal="center" vertical="center" wrapText="1"/>
    </xf>
    <xf numFmtId="3" fontId="2" fillId="34" borderId="55" xfId="0" applyNumberFormat="1" applyFont="1" applyFill="1" applyBorder="1" applyAlignment="1">
      <alignment horizontal="right" vertical="center" wrapText="1"/>
    </xf>
    <xf numFmtId="10" fontId="2" fillId="34" borderId="55" xfId="0" applyNumberFormat="1" applyFont="1" applyFill="1" applyBorder="1" applyAlignment="1">
      <alignment horizontal="right" vertical="center" wrapText="1"/>
    </xf>
    <xf numFmtId="10" fontId="2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10" fontId="2" fillId="33" borderId="13" xfId="0" applyNumberFormat="1" applyFont="1" applyFill="1" applyBorder="1" applyAlignment="1">
      <alignment horizontal="right" vertical="center" wrapText="1"/>
    </xf>
    <xf numFmtId="10" fontId="2" fillId="24" borderId="19" xfId="0" applyNumberFormat="1" applyFont="1" applyFill="1" applyBorder="1" applyAlignment="1">
      <alignment/>
    </xf>
    <xf numFmtId="10" fontId="2" fillId="7" borderId="27" xfId="0" applyNumberFormat="1" applyFont="1" applyFill="1" applyBorder="1" applyAlignment="1">
      <alignment horizontal="right"/>
    </xf>
    <xf numFmtId="10" fontId="2" fillId="24" borderId="16" xfId="0" applyNumberFormat="1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/>
      <protection/>
    </xf>
    <xf numFmtId="0" fontId="32" fillId="20" borderId="27" xfId="0" applyFont="1" applyFill="1" applyBorder="1" applyAlignment="1">
      <alignment horizontal="center" vertical="center" wrapText="1"/>
    </xf>
    <xf numFmtId="0" fontId="32" fillId="20" borderId="27" xfId="0" applyFont="1" applyFill="1" applyBorder="1" applyAlignment="1">
      <alignment horizontal="center"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3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0" fontId="2" fillId="0" borderId="49" xfId="0" applyNumberFormat="1" applyFont="1" applyBorder="1" applyAlignment="1" quotePrefix="1">
      <alignment/>
    </xf>
    <xf numFmtId="3" fontId="42" fillId="24" borderId="16" xfId="0" applyNumberFormat="1" applyFont="1" applyFill="1" applyBorder="1" applyAlignment="1">
      <alignment/>
    </xf>
    <xf numFmtId="0" fontId="2" fillId="32" borderId="6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0" fontId="2" fillId="20" borderId="32" xfId="0" applyNumberFormat="1" applyFont="1" applyFill="1" applyBorder="1" applyAlignment="1">
      <alignment/>
    </xf>
    <xf numFmtId="10" fontId="2" fillId="0" borderId="64" xfId="0" applyNumberFormat="1" applyFont="1" applyBorder="1" applyAlignment="1">
      <alignment/>
    </xf>
    <xf numFmtId="0" fontId="0" fillId="22" borderId="1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/>
    </xf>
    <xf numFmtId="0" fontId="23" fillId="22" borderId="10" xfId="0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 wrapText="1"/>
      <protection/>
    </xf>
    <xf numFmtId="0" fontId="2" fillId="22" borderId="10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/>
    </xf>
    <xf numFmtId="0" fontId="39" fillId="0" borderId="10" xfId="0" applyFont="1" applyBorder="1" applyAlignment="1">
      <alignment wrapText="1"/>
    </xf>
    <xf numFmtId="0" fontId="32" fillId="3" borderId="15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5" fillId="20" borderId="46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6" fillId="3" borderId="65" xfId="0" applyFont="1" applyFill="1" applyBorder="1" applyAlignment="1">
      <alignment horizontal="center" vertical="center"/>
    </xf>
    <xf numFmtId="0" fontId="26" fillId="3" borderId="66" xfId="0" applyFont="1" applyFill="1" applyBorder="1" applyAlignment="1">
      <alignment horizontal="center" vertical="center"/>
    </xf>
    <xf numFmtId="0" fontId="2" fillId="20" borderId="46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6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8" fillId="0" borderId="2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5" fillId="22" borderId="63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8" xfId="0" applyFont="1" applyFill="1" applyBorder="1" applyAlignment="1">
      <alignment horizontal="center"/>
    </xf>
    <xf numFmtId="0" fontId="25" fillId="22" borderId="42" xfId="0" applyFont="1" applyFill="1" applyBorder="1" applyAlignment="1">
      <alignment horizontal="center"/>
    </xf>
    <xf numFmtId="0" fontId="25" fillId="22" borderId="69" xfId="0" applyFont="1" applyFill="1" applyBorder="1" applyAlignment="1">
      <alignment horizontal="center"/>
    </xf>
    <xf numFmtId="0" fontId="25" fillId="22" borderId="48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29" xfId="0" applyFont="1" applyFill="1" applyBorder="1" applyAlignment="1">
      <alignment horizontal="center"/>
    </xf>
    <xf numFmtId="0" fontId="25" fillId="22" borderId="37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0" borderId="70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70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4" borderId="71" xfId="0" applyFont="1" applyFill="1" applyBorder="1" applyAlignment="1">
      <alignment horizontal="center"/>
    </xf>
    <xf numFmtId="0" fontId="22" fillId="4" borderId="53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7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3" fontId="2" fillId="34" borderId="55" xfId="0" applyNumberFormat="1" applyFont="1" applyFill="1" applyBorder="1" applyAlignment="1">
      <alignment horizontal="right" vertical="center" wrapText="1"/>
    </xf>
    <xf numFmtId="3" fontId="2" fillId="34" borderId="59" xfId="0" applyNumberFormat="1" applyFont="1" applyFill="1" applyBorder="1" applyAlignment="1">
      <alignment horizontal="right" vertical="center"/>
    </xf>
    <xf numFmtId="3" fontId="2" fillId="34" borderId="47" xfId="0" applyNumberFormat="1" applyFont="1" applyFill="1" applyBorder="1" applyAlignment="1">
      <alignment horizontal="right" vertical="center"/>
    </xf>
    <xf numFmtId="10" fontId="2" fillId="34" borderId="55" xfId="0" applyNumberFormat="1" applyFont="1" applyFill="1" applyBorder="1" applyAlignment="1">
      <alignment horizontal="right" vertical="center" wrapText="1"/>
    </xf>
    <xf numFmtId="10" fontId="2" fillId="34" borderId="59" xfId="0" applyNumberFormat="1" applyFont="1" applyFill="1" applyBorder="1" applyAlignment="1">
      <alignment horizontal="right" vertical="center"/>
    </xf>
    <xf numFmtId="10" fontId="2" fillId="34" borderId="4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4" borderId="1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9" fillId="20" borderId="46" xfId="0" applyFont="1" applyFill="1" applyBorder="1" applyAlignment="1">
      <alignment horizontal="center"/>
    </xf>
    <xf numFmtId="0" fontId="29" fillId="20" borderId="72" xfId="0" applyFont="1" applyFill="1" applyBorder="1" applyAlignment="1">
      <alignment horizontal="center"/>
    </xf>
    <xf numFmtId="0" fontId="29" fillId="20" borderId="73" xfId="0" applyFont="1" applyFill="1" applyBorder="1" applyAlignment="1">
      <alignment horizontal="center"/>
    </xf>
    <xf numFmtId="0" fontId="25" fillId="20" borderId="26" xfId="0" applyFont="1" applyFill="1" applyBorder="1" applyAlignment="1">
      <alignment horizontal="center"/>
    </xf>
    <xf numFmtId="0" fontId="25" fillId="20" borderId="40" xfId="0" applyFont="1" applyFill="1" applyBorder="1" applyAlignment="1">
      <alignment horizontal="center"/>
    </xf>
    <xf numFmtId="0" fontId="2" fillId="20" borderId="63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23" fillId="8" borderId="55" xfId="0" applyFont="1" applyFill="1" applyBorder="1" applyAlignment="1">
      <alignment horizontal="center" vertical="center"/>
    </xf>
    <xf numFmtId="0" fontId="23" fillId="8" borderId="59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3" xfId="0" applyBorder="1" applyAlignment="1">
      <alignment horizontal="right"/>
    </xf>
    <xf numFmtId="0" fontId="29" fillId="20" borderId="67" xfId="0" applyFont="1" applyFill="1" applyBorder="1" applyAlignment="1">
      <alignment horizontal="center"/>
    </xf>
    <xf numFmtId="0" fontId="29" fillId="20" borderId="70" xfId="0" applyFont="1" applyFill="1" applyBorder="1" applyAlignment="1">
      <alignment horizontal="center"/>
    </xf>
    <xf numFmtId="0" fontId="29" fillId="20" borderId="6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4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/>
    </xf>
    <xf numFmtId="0" fontId="0" fillId="20" borderId="72" xfId="0" applyFill="1" applyBorder="1" applyAlignment="1">
      <alignment horizontal="center"/>
    </xf>
    <xf numFmtId="0" fontId="0" fillId="20" borderId="73" xfId="0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6" fillId="20" borderId="65" xfId="0" applyFont="1" applyFill="1" applyBorder="1" applyAlignment="1">
      <alignment horizontal="center"/>
    </xf>
    <xf numFmtId="0" fontId="26" fillId="20" borderId="66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3" fontId="42" fillId="24" borderId="27" xfId="0" applyNumberFormat="1" applyFont="1" applyFill="1" applyBorder="1" applyAlignment="1">
      <alignment/>
    </xf>
    <xf numFmtId="0" fontId="0" fillId="11" borderId="10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9"/>
  <sheetViews>
    <sheetView tabSelected="1" zoomScale="124" zoomScaleNormal="124" zoomScalePageLayoutView="0" workbookViewId="0" topLeftCell="A254">
      <selection activeCell="C257" sqref="C257"/>
    </sheetView>
  </sheetViews>
  <sheetFormatPr defaultColWidth="9.140625" defaultRowHeight="12.75"/>
  <cols>
    <col min="1" max="1" width="58.8515625" style="110" customWidth="1"/>
    <col min="2" max="2" width="11.140625" style="110" customWidth="1"/>
    <col min="3" max="3" width="12.140625" style="110" customWidth="1"/>
    <col min="4" max="4" width="12.421875" style="110" customWidth="1"/>
    <col min="5" max="6" width="12.7109375" style="110" hidden="1" customWidth="1"/>
    <col min="7" max="7" width="10.140625" style="110" hidden="1" customWidth="1"/>
    <col min="8" max="8" width="12.421875" style="110" hidden="1" customWidth="1"/>
    <col min="9" max="9" width="10.140625" style="110" hidden="1" customWidth="1"/>
    <col min="10" max="12" width="11.57421875" style="110" customWidth="1"/>
    <col min="13" max="13" width="11.8515625" style="110" customWidth="1"/>
    <col min="14" max="14" width="10.140625" style="110" customWidth="1"/>
    <col min="15" max="15" width="10.140625" style="110" bestFit="1" customWidth="1"/>
    <col min="16" max="16" width="11.140625" style="110" bestFit="1" customWidth="1"/>
    <col min="17" max="17" width="11.140625" style="110" customWidth="1"/>
    <col min="18" max="18" width="11.421875" style="110" customWidth="1"/>
    <col min="19" max="19" width="12.57421875" style="110" customWidth="1"/>
    <col min="20" max="16384" width="9.140625" style="110" customWidth="1"/>
  </cols>
  <sheetData>
    <row r="1" spans="1:13" ht="14.25">
      <c r="A1" s="37" t="s">
        <v>256</v>
      </c>
      <c r="K1" s="412" t="s">
        <v>258</v>
      </c>
      <c r="L1" s="413"/>
      <c r="M1" s="413"/>
    </row>
    <row r="2" spans="1:13" ht="14.25">
      <c r="A2" s="109" t="s">
        <v>185</v>
      </c>
      <c r="K2" s="413"/>
      <c r="L2" s="413"/>
      <c r="M2" s="413"/>
    </row>
    <row r="3" spans="1:13" ht="12.75" customHeight="1">
      <c r="A3" s="492" t="s">
        <v>158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</row>
    <row r="4" spans="1:13" ht="12.75" customHeight="1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12.75" customHeight="1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</row>
    <row r="6" spans="1:13" ht="19.5" customHeight="1">
      <c r="A6" s="496" t="s">
        <v>281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</row>
    <row r="7" spans="1:13" ht="12.75" customHeight="1" thickBo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491" t="s">
        <v>157</v>
      </c>
      <c r="M7" s="491"/>
    </row>
    <row r="8" spans="1:14" ht="45">
      <c r="A8" s="461" t="s">
        <v>145</v>
      </c>
      <c r="B8" s="462"/>
      <c r="C8" s="325" t="s">
        <v>146</v>
      </c>
      <c r="D8" s="325" t="s">
        <v>147</v>
      </c>
      <c r="E8" s="326"/>
      <c r="F8" s="326"/>
      <c r="G8" s="326"/>
      <c r="H8" s="326"/>
      <c r="I8" s="326"/>
      <c r="J8" s="325" t="s">
        <v>148</v>
      </c>
      <c r="K8" s="325" t="s">
        <v>149</v>
      </c>
      <c r="L8" s="450" t="s">
        <v>297</v>
      </c>
      <c r="M8" s="325" t="s">
        <v>151</v>
      </c>
      <c r="N8" s="327" t="s">
        <v>228</v>
      </c>
    </row>
    <row r="9" spans="1:14" ht="16.5" thickBot="1">
      <c r="A9" s="328"/>
      <c r="B9" s="279"/>
      <c r="C9" s="280">
        <v>1</v>
      </c>
      <c r="D9" s="280">
        <v>2</v>
      </c>
      <c r="E9" s="281"/>
      <c r="F9" s="281"/>
      <c r="G9" s="281"/>
      <c r="H9" s="281"/>
      <c r="I9" s="281"/>
      <c r="J9" s="280">
        <v>3</v>
      </c>
      <c r="K9" s="280">
        <v>4</v>
      </c>
      <c r="L9" s="280">
        <v>5</v>
      </c>
      <c r="M9" s="280" t="s">
        <v>154</v>
      </c>
      <c r="N9" s="329"/>
    </row>
    <row r="10" spans="1:14" ht="24.75" customHeight="1" thickBot="1">
      <c r="A10" s="49" t="s">
        <v>262</v>
      </c>
      <c r="B10" s="286" t="s">
        <v>152</v>
      </c>
      <c r="C10" s="287">
        <f>C11+C12+C21+C16+C18</f>
        <v>38470223</v>
      </c>
      <c r="D10" s="287">
        <f aca="true" t="shared" si="0" ref="D10:M10">D11+D12+D21+D16+D18</f>
        <v>34908223</v>
      </c>
      <c r="E10" s="287">
        <f t="shared" si="0"/>
        <v>19479000</v>
      </c>
      <c r="F10" s="287">
        <f t="shared" si="0"/>
        <v>19479000</v>
      </c>
      <c r="G10" s="287">
        <f t="shared" si="0"/>
        <v>19479000</v>
      </c>
      <c r="H10" s="287">
        <f t="shared" si="0"/>
        <v>19479000</v>
      </c>
      <c r="I10" s="287">
        <f t="shared" si="0"/>
        <v>19479000</v>
      </c>
      <c r="J10" s="287">
        <f t="shared" si="0"/>
        <v>37823006</v>
      </c>
      <c r="K10" s="287">
        <f t="shared" si="0"/>
        <v>37823006</v>
      </c>
      <c r="L10" s="287">
        <f>L11+L12+L21+L16+L18+L15</f>
        <v>28917651</v>
      </c>
      <c r="M10" s="287">
        <f t="shared" si="0"/>
        <v>8955355</v>
      </c>
      <c r="N10" s="288">
        <f>L10/C10</f>
        <v>0.7516891960829029</v>
      </c>
    </row>
    <row r="11" spans="1:14" ht="15">
      <c r="A11" s="282" t="s">
        <v>140</v>
      </c>
      <c r="B11" s="470" t="s">
        <v>10</v>
      </c>
      <c r="C11" s="283">
        <v>34000000</v>
      </c>
      <c r="D11" s="283">
        <v>30438000</v>
      </c>
      <c r="E11" s="283"/>
      <c r="F11" s="283"/>
      <c r="G11" s="284"/>
      <c r="H11" s="330"/>
      <c r="I11" s="330"/>
      <c r="J11" s="283">
        <v>33782977</v>
      </c>
      <c r="K11" s="283">
        <v>33782977</v>
      </c>
      <c r="L11" s="283">
        <v>25521391</v>
      </c>
      <c r="M11" s="283">
        <f>J11-L11</f>
        <v>8261586</v>
      </c>
      <c r="N11" s="331">
        <f>L11/C11</f>
        <v>0.7506291470588236</v>
      </c>
    </row>
    <row r="12" spans="1:14" ht="15.75" customHeight="1">
      <c r="A12" s="114" t="s">
        <v>141</v>
      </c>
      <c r="B12" s="470"/>
      <c r="C12" s="117">
        <v>4500000</v>
      </c>
      <c r="D12" s="117">
        <v>4500000</v>
      </c>
      <c r="E12" s="117"/>
      <c r="F12" s="117"/>
      <c r="G12" s="153"/>
      <c r="H12" s="482"/>
      <c r="I12" s="483"/>
      <c r="J12" s="117">
        <v>4071973</v>
      </c>
      <c r="K12" s="117">
        <v>4071973</v>
      </c>
      <c r="L12" s="117">
        <v>3391293</v>
      </c>
      <c r="M12" s="117">
        <f aca="true" t="shared" si="1" ref="M12:M20">J12-L12</f>
        <v>680680</v>
      </c>
      <c r="N12" s="332">
        <f aca="true" t="shared" si="2" ref="N12:N20">L12/C12</f>
        <v>0.7536206666666667</v>
      </c>
    </row>
    <row r="13" spans="1:14" ht="15" customHeight="1" hidden="1">
      <c r="A13" s="114" t="s">
        <v>0</v>
      </c>
      <c r="B13" s="470"/>
      <c r="C13" s="115"/>
      <c r="D13" s="115"/>
      <c r="E13" s="115"/>
      <c r="F13" s="115"/>
      <c r="G13" s="116"/>
      <c r="H13" s="119"/>
      <c r="I13" s="120"/>
      <c r="J13" s="115"/>
      <c r="K13" s="115"/>
      <c r="L13" s="115"/>
      <c r="M13" s="115">
        <f t="shared" si="1"/>
        <v>0</v>
      </c>
      <c r="N13" s="332" t="e">
        <f t="shared" si="2"/>
        <v>#DIV/0!</v>
      </c>
    </row>
    <row r="14" spans="1:14" ht="15" customHeight="1" hidden="1">
      <c r="A14" s="114" t="s">
        <v>1</v>
      </c>
      <c r="B14" s="470"/>
      <c r="C14" s="115"/>
      <c r="D14" s="115"/>
      <c r="E14" s="115"/>
      <c r="F14" s="115"/>
      <c r="G14" s="116"/>
      <c r="H14" s="119"/>
      <c r="I14" s="120"/>
      <c r="J14" s="115"/>
      <c r="K14" s="115"/>
      <c r="L14" s="115"/>
      <c r="M14" s="115">
        <f t="shared" si="1"/>
        <v>0</v>
      </c>
      <c r="N14" s="332" t="e">
        <f t="shared" si="2"/>
        <v>#DIV/0!</v>
      </c>
    </row>
    <row r="15" spans="1:14" ht="24.75" customHeight="1">
      <c r="A15" s="449" t="s">
        <v>296</v>
      </c>
      <c r="B15" s="470"/>
      <c r="C15" s="115">
        <v>55000</v>
      </c>
      <c r="D15" s="115">
        <v>55000</v>
      </c>
      <c r="E15" s="115"/>
      <c r="F15" s="115"/>
      <c r="G15" s="116"/>
      <c r="H15" s="119"/>
      <c r="I15" s="120"/>
      <c r="J15" s="115">
        <v>55000</v>
      </c>
      <c r="K15" s="115">
        <v>55000</v>
      </c>
      <c r="L15" s="115">
        <v>50000</v>
      </c>
      <c r="M15" s="115">
        <f t="shared" si="1"/>
        <v>5000</v>
      </c>
      <c r="N15" s="332">
        <v>0</v>
      </c>
    </row>
    <row r="16" spans="1:14" ht="15" customHeight="1" hidden="1">
      <c r="A16" s="114" t="s">
        <v>216</v>
      </c>
      <c r="B16" s="470"/>
      <c r="C16" s="115"/>
      <c r="D16" s="115"/>
      <c r="E16" s="115"/>
      <c r="F16" s="115"/>
      <c r="G16" s="116"/>
      <c r="H16" s="119"/>
      <c r="I16" s="120"/>
      <c r="J16" s="115"/>
      <c r="K16" s="115"/>
      <c r="L16" s="115"/>
      <c r="M16" s="115">
        <f t="shared" si="1"/>
        <v>0</v>
      </c>
      <c r="N16" s="332" t="e">
        <f t="shared" si="2"/>
        <v>#DIV/0!</v>
      </c>
    </row>
    <row r="17" spans="1:14" ht="15" customHeight="1" hidden="1">
      <c r="A17" s="114" t="s">
        <v>3</v>
      </c>
      <c r="B17" s="470"/>
      <c r="C17" s="115"/>
      <c r="D17" s="115"/>
      <c r="E17" s="115"/>
      <c r="F17" s="115"/>
      <c r="G17" s="116"/>
      <c r="H17" s="119"/>
      <c r="I17" s="120"/>
      <c r="J17" s="115"/>
      <c r="K17" s="115"/>
      <c r="L17" s="115"/>
      <c r="M17" s="115">
        <f t="shared" si="1"/>
        <v>0</v>
      </c>
      <c r="N17" s="332" t="e">
        <f t="shared" si="2"/>
        <v>#DIV/0!</v>
      </c>
    </row>
    <row r="18" spans="1:14" ht="15">
      <c r="A18" s="443" t="s">
        <v>288</v>
      </c>
      <c r="B18" s="471"/>
      <c r="C18" s="115">
        <v>40000</v>
      </c>
      <c r="D18" s="115">
        <v>40000</v>
      </c>
      <c r="E18" s="115"/>
      <c r="F18" s="115"/>
      <c r="G18" s="116"/>
      <c r="H18" s="119"/>
      <c r="I18" s="120"/>
      <c r="J18" s="115">
        <v>40000</v>
      </c>
      <c r="K18" s="115">
        <v>40000</v>
      </c>
      <c r="L18" s="115">
        <v>26911</v>
      </c>
      <c r="M18" s="115">
        <f t="shared" si="1"/>
        <v>13089</v>
      </c>
      <c r="N18" s="332">
        <f t="shared" si="2"/>
        <v>0.672775</v>
      </c>
    </row>
    <row r="19" spans="1:14" ht="15" hidden="1">
      <c r="A19" s="114" t="s">
        <v>5</v>
      </c>
      <c r="B19" s="118"/>
      <c r="C19" s="115">
        <f>D19+E19+F19+G19</f>
        <v>0</v>
      </c>
      <c r="D19" s="115"/>
      <c r="E19" s="115"/>
      <c r="F19" s="115"/>
      <c r="G19" s="116"/>
      <c r="H19" s="119"/>
      <c r="I19" s="120"/>
      <c r="J19" s="115"/>
      <c r="K19" s="115"/>
      <c r="L19" s="115"/>
      <c r="M19" s="115">
        <f t="shared" si="1"/>
        <v>0</v>
      </c>
      <c r="N19" s="332" t="e">
        <f t="shared" si="2"/>
        <v>#DIV/0!</v>
      </c>
    </row>
    <row r="20" spans="1:14" ht="15" hidden="1">
      <c r="A20" s="114" t="s">
        <v>6</v>
      </c>
      <c r="B20" s="118"/>
      <c r="C20" s="115">
        <f>D20+E20+F20+G20</f>
        <v>0</v>
      </c>
      <c r="D20" s="115"/>
      <c r="E20" s="115"/>
      <c r="F20" s="115"/>
      <c r="G20" s="116"/>
      <c r="H20" s="119"/>
      <c r="I20" s="120"/>
      <c r="J20" s="115"/>
      <c r="K20" s="115"/>
      <c r="L20" s="115"/>
      <c r="M20" s="115">
        <f t="shared" si="1"/>
        <v>0</v>
      </c>
      <c r="N20" s="332" t="e">
        <f t="shared" si="2"/>
        <v>#DIV/0!</v>
      </c>
    </row>
    <row r="21" spans="1:14" ht="15">
      <c r="A21" s="121" t="s">
        <v>7</v>
      </c>
      <c r="B21" s="118"/>
      <c r="C21" s="141">
        <v>-69777</v>
      </c>
      <c r="D21" s="122">
        <v>-69777</v>
      </c>
      <c r="E21" s="122">
        <f>E24</f>
        <v>-4991</v>
      </c>
      <c r="F21" s="122">
        <f>F24</f>
        <v>-4991</v>
      </c>
      <c r="G21" s="122">
        <f>G24</f>
        <v>-4991</v>
      </c>
      <c r="H21" s="122">
        <f>H24</f>
        <v>-4991</v>
      </c>
      <c r="I21" s="122">
        <f>I24</f>
        <v>-4991</v>
      </c>
      <c r="J21" s="122">
        <f>K21</f>
        <v>-71944</v>
      </c>
      <c r="K21" s="122">
        <f>L21</f>
        <v>-71944</v>
      </c>
      <c r="L21" s="122">
        <v>-71944</v>
      </c>
      <c r="M21" s="115"/>
      <c r="N21" s="332"/>
    </row>
    <row r="22" spans="1:14" ht="15">
      <c r="A22" s="123" t="s">
        <v>8</v>
      </c>
      <c r="B22" s="118"/>
      <c r="C22" s="115"/>
      <c r="D22" s="115"/>
      <c r="E22" s="115"/>
      <c r="F22" s="115"/>
      <c r="G22" s="116"/>
      <c r="H22" s="119" t="s">
        <v>100</v>
      </c>
      <c r="I22" s="124">
        <f>C11+C12</f>
        <v>38500000</v>
      </c>
      <c r="J22" s="115"/>
      <c r="K22" s="115"/>
      <c r="L22" s="115"/>
      <c r="M22" s="115"/>
      <c r="N22" s="332"/>
    </row>
    <row r="23" spans="1:14" ht="14.25">
      <c r="A23" s="125" t="s">
        <v>9</v>
      </c>
      <c r="B23" s="126" t="s">
        <v>10</v>
      </c>
      <c r="C23" s="127">
        <f>C11+C12+C16+C18+C15</f>
        <v>38595000</v>
      </c>
      <c r="D23" s="127">
        <f aca="true" t="shared" si="3" ref="D23:L23">D11+D12+D16+D18+D15</f>
        <v>35033000</v>
      </c>
      <c r="E23" s="127">
        <f t="shared" si="3"/>
        <v>0</v>
      </c>
      <c r="F23" s="127">
        <f t="shared" si="3"/>
        <v>0</v>
      </c>
      <c r="G23" s="127">
        <f t="shared" si="3"/>
        <v>0</v>
      </c>
      <c r="H23" s="127">
        <f t="shared" si="3"/>
        <v>0</v>
      </c>
      <c r="I23" s="127">
        <f t="shared" si="3"/>
        <v>0</v>
      </c>
      <c r="J23" s="127">
        <f t="shared" si="3"/>
        <v>37949950</v>
      </c>
      <c r="K23" s="127">
        <f t="shared" si="3"/>
        <v>37949950</v>
      </c>
      <c r="L23" s="127">
        <f t="shared" si="3"/>
        <v>28989595</v>
      </c>
      <c r="M23" s="127">
        <f>M11+M12+M16+M18</f>
        <v>8955355</v>
      </c>
      <c r="N23" s="333">
        <f>L23/C23</f>
        <v>0.7511230729369089</v>
      </c>
    </row>
    <row r="24" spans="1:14" ht="15" thickBot="1">
      <c r="A24" s="289" t="s">
        <v>7</v>
      </c>
      <c r="B24" s="176"/>
      <c r="C24" s="437">
        <v>-69777</v>
      </c>
      <c r="D24" s="437">
        <v>-69777</v>
      </c>
      <c r="E24" s="164">
        <f aca="true" t="shared" si="4" ref="E24:L24">E21</f>
        <v>0</v>
      </c>
      <c r="F24" s="164">
        <f t="shared" si="4"/>
        <v>0</v>
      </c>
      <c r="G24" s="164">
        <f t="shared" si="4"/>
        <v>0</v>
      </c>
      <c r="H24" s="164">
        <f t="shared" si="4"/>
        <v>0</v>
      </c>
      <c r="I24" s="164">
        <f t="shared" si="4"/>
        <v>0</v>
      </c>
      <c r="J24" s="166">
        <f t="shared" si="4"/>
        <v>-71944</v>
      </c>
      <c r="K24" s="166">
        <f t="shared" si="4"/>
        <v>-71944</v>
      </c>
      <c r="L24" s="166">
        <f t="shared" si="4"/>
        <v>-71944</v>
      </c>
      <c r="M24" s="164"/>
      <c r="N24" s="334"/>
    </row>
    <row r="25" spans="1:14" ht="24.75" customHeight="1" thickBot="1">
      <c r="A25" s="285" t="s">
        <v>14</v>
      </c>
      <c r="B25" s="286" t="s">
        <v>152</v>
      </c>
      <c r="C25" s="287">
        <f>C26+C27+C28+C33</f>
        <v>2771000</v>
      </c>
      <c r="D25" s="287">
        <f aca="true" t="shared" si="5" ref="D25:M25">D26+D27+D28+D33</f>
        <v>2374000</v>
      </c>
      <c r="E25" s="287">
        <f t="shared" si="5"/>
        <v>0</v>
      </c>
      <c r="F25" s="287">
        <f t="shared" si="5"/>
        <v>0</v>
      </c>
      <c r="G25" s="287">
        <f t="shared" si="5"/>
        <v>0</v>
      </c>
      <c r="H25" s="287">
        <f t="shared" si="5"/>
        <v>0</v>
      </c>
      <c r="I25" s="287">
        <f t="shared" si="5"/>
        <v>0</v>
      </c>
      <c r="J25" s="287">
        <f t="shared" si="5"/>
        <v>2755746</v>
      </c>
      <c r="K25" s="287">
        <f t="shared" si="5"/>
        <v>2755746</v>
      </c>
      <c r="L25" s="287">
        <f t="shared" si="5"/>
        <v>2024079</v>
      </c>
      <c r="M25" s="287">
        <f t="shared" si="5"/>
        <v>731667</v>
      </c>
      <c r="N25" s="288">
        <f>L25/C25</f>
        <v>0.7304507398051245</v>
      </c>
    </row>
    <row r="26" spans="1:14" ht="15">
      <c r="A26" s="282" t="s">
        <v>140</v>
      </c>
      <c r="B26" s="470" t="s">
        <v>12</v>
      </c>
      <c r="C26" s="283">
        <v>2700000</v>
      </c>
      <c r="D26" s="283">
        <v>2303000</v>
      </c>
      <c r="E26" s="283"/>
      <c r="F26" s="283"/>
      <c r="G26" s="284"/>
      <c r="H26" s="330"/>
      <c r="I26" s="330"/>
      <c r="J26" s="283">
        <v>2698000</v>
      </c>
      <c r="K26" s="283">
        <v>2698000</v>
      </c>
      <c r="L26" s="283">
        <v>1967333</v>
      </c>
      <c r="M26" s="283">
        <f>J26-L26</f>
        <v>730667</v>
      </c>
      <c r="N26" s="331">
        <f>L26/C26</f>
        <v>0.7286418518518518</v>
      </c>
    </row>
    <row r="27" spans="1:14" ht="15">
      <c r="A27" s="114" t="s">
        <v>141</v>
      </c>
      <c r="B27" s="471"/>
      <c r="C27" s="115">
        <v>70000</v>
      </c>
      <c r="D27" s="115">
        <v>70000</v>
      </c>
      <c r="E27" s="115"/>
      <c r="F27" s="115"/>
      <c r="G27" s="116"/>
      <c r="H27" s="484"/>
      <c r="I27" s="485"/>
      <c r="J27" s="115">
        <v>56746</v>
      </c>
      <c r="K27" s="115">
        <v>56746</v>
      </c>
      <c r="L27" s="115">
        <v>56746</v>
      </c>
      <c r="M27" s="115">
        <f>J27-L27</f>
        <v>0</v>
      </c>
      <c r="N27" s="332">
        <f aca="true" t="shared" si="6" ref="N27:N33">L27/C27</f>
        <v>0.8106571428571429</v>
      </c>
    </row>
    <row r="28" spans="1:14" ht="15">
      <c r="A28" s="114" t="s">
        <v>208</v>
      </c>
      <c r="B28" s="129" t="s">
        <v>209</v>
      </c>
      <c r="C28" s="115">
        <v>0</v>
      </c>
      <c r="D28" s="115">
        <v>0</v>
      </c>
      <c r="E28" s="115"/>
      <c r="F28" s="115"/>
      <c r="G28" s="116"/>
      <c r="H28" s="119"/>
      <c r="I28" s="120"/>
      <c r="J28" s="115"/>
      <c r="K28" s="115"/>
      <c r="L28" s="115"/>
      <c r="M28" s="115">
        <f aca="true" t="shared" si="7" ref="M28:M33">J28-L28</f>
        <v>0</v>
      </c>
      <c r="N28" s="332"/>
    </row>
    <row r="29" spans="1:14" ht="15" hidden="1">
      <c r="A29" s="114" t="s">
        <v>1</v>
      </c>
      <c r="B29" s="118"/>
      <c r="C29" s="115"/>
      <c r="D29" s="115"/>
      <c r="E29" s="115"/>
      <c r="F29" s="115"/>
      <c r="G29" s="116"/>
      <c r="H29" s="119"/>
      <c r="I29" s="120"/>
      <c r="J29" s="115"/>
      <c r="K29" s="115"/>
      <c r="L29" s="115"/>
      <c r="M29" s="115">
        <f t="shared" si="7"/>
        <v>0</v>
      </c>
      <c r="N29" s="332" t="e">
        <f t="shared" si="6"/>
        <v>#DIV/0!</v>
      </c>
    </row>
    <row r="30" spans="1:14" ht="15" hidden="1">
      <c r="A30" s="114" t="s">
        <v>139</v>
      </c>
      <c r="B30" s="118"/>
      <c r="C30" s="115"/>
      <c r="D30" s="115"/>
      <c r="E30" s="115"/>
      <c r="F30" s="115"/>
      <c r="G30" s="116"/>
      <c r="H30" s="119"/>
      <c r="I30" s="120"/>
      <c r="J30" s="115"/>
      <c r="K30" s="115"/>
      <c r="L30" s="115"/>
      <c r="M30" s="115">
        <f t="shared" si="7"/>
        <v>0</v>
      </c>
      <c r="N30" s="332" t="e">
        <f t="shared" si="6"/>
        <v>#DIV/0!</v>
      </c>
    </row>
    <row r="31" spans="1:14" ht="15" hidden="1">
      <c r="A31" s="114" t="s">
        <v>2</v>
      </c>
      <c r="B31" s="118"/>
      <c r="C31" s="115"/>
      <c r="D31" s="115"/>
      <c r="E31" s="115"/>
      <c r="F31" s="115"/>
      <c r="G31" s="116"/>
      <c r="H31" s="119"/>
      <c r="I31" s="120"/>
      <c r="J31" s="115"/>
      <c r="K31" s="115"/>
      <c r="L31" s="115"/>
      <c r="M31" s="115">
        <f t="shared" si="7"/>
        <v>0</v>
      </c>
      <c r="N31" s="332" t="e">
        <f t="shared" si="6"/>
        <v>#DIV/0!</v>
      </c>
    </row>
    <row r="32" spans="1:14" ht="15" hidden="1">
      <c r="A32" s="114" t="s">
        <v>3</v>
      </c>
      <c r="B32" s="118"/>
      <c r="C32" s="115"/>
      <c r="D32" s="115"/>
      <c r="E32" s="115"/>
      <c r="F32" s="115"/>
      <c r="G32" s="116"/>
      <c r="H32" s="119"/>
      <c r="I32" s="120"/>
      <c r="J32" s="115"/>
      <c r="K32" s="115"/>
      <c r="L32" s="115"/>
      <c r="M32" s="115">
        <f t="shared" si="7"/>
        <v>0</v>
      </c>
      <c r="N32" s="332" t="e">
        <f t="shared" si="6"/>
        <v>#DIV/0!</v>
      </c>
    </row>
    <row r="33" spans="1:14" ht="15">
      <c r="A33" s="443" t="s">
        <v>288</v>
      </c>
      <c r="B33" s="233" t="s">
        <v>12</v>
      </c>
      <c r="C33" s="115">
        <v>1000</v>
      </c>
      <c r="D33" s="115">
        <v>1000</v>
      </c>
      <c r="E33" s="115"/>
      <c r="F33" s="115"/>
      <c r="G33" s="116"/>
      <c r="H33" s="119"/>
      <c r="I33" s="120"/>
      <c r="J33" s="115">
        <v>1000</v>
      </c>
      <c r="K33" s="115">
        <v>1000</v>
      </c>
      <c r="L33" s="115">
        <v>0</v>
      </c>
      <c r="M33" s="115">
        <f t="shared" si="7"/>
        <v>1000</v>
      </c>
      <c r="N33" s="332">
        <f t="shared" si="6"/>
        <v>0</v>
      </c>
    </row>
    <row r="34" spans="1:14" ht="15" hidden="1">
      <c r="A34" s="114" t="s">
        <v>5</v>
      </c>
      <c r="B34" s="118"/>
      <c r="C34" s="115">
        <f>D34+E34+F34+G34</f>
        <v>0</v>
      </c>
      <c r="D34" s="115"/>
      <c r="E34" s="115"/>
      <c r="F34" s="115"/>
      <c r="G34" s="116"/>
      <c r="H34" s="119"/>
      <c r="I34" s="120"/>
      <c r="J34" s="115"/>
      <c r="K34" s="115"/>
      <c r="L34" s="115"/>
      <c r="M34" s="115"/>
      <c r="N34" s="332"/>
    </row>
    <row r="35" spans="1:14" ht="15" hidden="1">
      <c r="A35" s="114" t="s">
        <v>6</v>
      </c>
      <c r="B35" s="118"/>
      <c r="C35" s="115">
        <f>D35+E35+F35+G35</f>
        <v>0</v>
      </c>
      <c r="D35" s="115"/>
      <c r="E35" s="115"/>
      <c r="F35" s="115"/>
      <c r="G35" s="116"/>
      <c r="H35" s="119"/>
      <c r="I35" s="120"/>
      <c r="J35" s="115"/>
      <c r="K35" s="115"/>
      <c r="L35" s="115"/>
      <c r="M35" s="115"/>
      <c r="N35" s="332"/>
    </row>
    <row r="36" spans="1:14" ht="15">
      <c r="A36" s="121" t="s">
        <v>7</v>
      </c>
      <c r="B36" s="118"/>
      <c r="C36" s="115"/>
      <c r="D36" s="115"/>
      <c r="E36" s="115"/>
      <c r="F36" s="115"/>
      <c r="G36" s="116"/>
      <c r="H36" s="119"/>
      <c r="I36" s="120"/>
      <c r="J36" s="115"/>
      <c r="K36" s="115"/>
      <c r="L36" s="115"/>
      <c r="M36" s="115"/>
      <c r="N36" s="332"/>
    </row>
    <row r="37" spans="1:14" ht="15">
      <c r="A37" s="123" t="s">
        <v>8</v>
      </c>
      <c r="B37" s="118"/>
      <c r="C37" s="115"/>
      <c r="D37" s="115"/>
      <c r="E37" s="115"/>
      <c r="F37" s="115"/>
      <c r="G37" s="116"/>
      <c r="H37" s="119" t="s">
        <v>100</v>
      </c>
      <c r="I37" s="124">
        <f>C26+C27</f>
        <v>2770000</v>
      </c>
      <c r="J37" s="115"/>
      <c r="K37" s="115"/>
      <c r="L37" s="115"/>
      <c r="M37" s="115"/>
      <c r="N37" s="332"/>
    </row>
    <row r="38" spans="1:14" ht="15">
      <c r="A38" s="130" t="s">
        <v>208</v>
      </c>
      <c r="B38" s="126" t="s">
        <v>209</v>
      </c>
      <c r="C38" s="131">
        <f>C28</f>
        <v>0</v>
      </c>
      <c r="D38" s="131">
        <f aca="true" t="shared" si="8" ref="D38:M38">D28</f>
        <v>0</v>
      </c>
      <c r="E38" s="131">
        <f t="shared" si="8"/>
        <v>0</v>
      </c>
      <c r="F38" s="131">
        <f t="shared" si="8"/>
        <v>0</v>
      </c>
      <c r="G38" s="131">
        <f t="shared" si="8"/>
        <v>0</v>
      </c>
      <c r="H38" s="131">
        <f t="shared" si="8"/>
        <v>0</v>
      </c>
      <c r="I38" s="131">
        <f t="shared" si="8"/>
        <v>0</v>
      </c>
      <c r="J38" s="131">
        <f t="shared" si="8"/>
        <v>0</v>
      </c>
      <c r="K38" s="131">
        <f t="shared" si="8"/>
        <v>0</v>
      </c>
      <c r="L38" s="131">
        <f t="shared" si="8"/>
        <v>0</v>
      </c>
      <c r="M38" s="131">
        <f t="shared" si="8"/>
        <v>0</v>
      </c>
      <c r="N38" s="335"/>
    </row>
    <row r="39" spans="1:14" ht="14.25">
      <c r="A39" s="125" t="s">
        <v>11</v>
      </c>
      <c r="B39" s="126" t="s">
        <v>12</v>
      </c>
      <c r="C39" s="127">
        <f>C27+C26+C33</f>
        <v>2771000</v>
      </c>
      <c r="D39" s="127">
        <f aca="true" t="shared" si="9" ref="D39:M39">D27+D26+D33</f>
        <v>2374000</v>
      </c>
      <c r="E39" s="127">
        <f t="shared" si="9"/>
        <v>0</v>
      </c>
      <c r="F39" s="127">
        <f t="shared" si="9"/>
        <v>0</v>
      </c>
      <c r="G39" s="127">
        <f t="shared" si="9"/>
        <v>0</v>
      </c>
      <c r="H39" s="127">
        <f t="shared" si="9"/>
        <v>0</v>
      </c>
      <c r="I39" s="127">
        <f t="shared" si="9"/>
        <v>0</v>
      </c>
      <c r="J39" s="127">
        <f t="shared" si="9"/>
        <v>2755746</v>
      </c>
      <c r="K39" s="127">
        <f t="shared" si="9"/>
        <v>2755746</v>
      </c>
      <c r="L39" s="127">
        <f t="shared" si="9"/>
        <v>2024079</v>
      </c>
      <c r="M39" s="127">
        <f t="shared" si="9"/>
        <v>731667</v>
      </c>
      <c r="N39" s="333">
        <f>L39/C39</f>
        <v>0.7304507398051245</v>
      </c>
    </row>
    <row r="40" spans="1:14" ht="15.75" thickBot="1">
      <c r="A40" s="289" t="s">
        <v>7</v>
      </c>
      <c r="B40" s="176"/>
      <c r="C40" s="164"/>
      <c r="D40" s="164"/>
      <c r="E40" s="164"/>
      <c r="F40" s="164"/>
      <c r="G40" s="164"/>
      <c r="H40" s="290"/>
      <c r="I40" s="179"/>
      <c r="J40" s="164">
        <f>J36</f>
        <v>0</v>
      </c>
      <c r="K40" s="164">
        <f>K36</f>
        <v>0</v>
      </c>
      <c r="L40" s="164">
        <f>L36</f>
        <v>0</v>
      </c>
      <c r="M40" s="164"/>
      <c r="N40" s="334"/>
    </row>
    <row r="41" spans="1:14" ht="24.75" customHeight="1" thickBot="1">
      <c r="A41" s="285" t="s">
        <v>23</v>
      </c>
      <c r="B41" s="286" t="s">
        <v>152</v>
      </c>
      <c r="C41" s="287">
        <f>C42+C43</f>
        <v>4100000</v>
      </c>
      <c r="D41" s="287">
        <f aca="true" t="shared" si="10" ref="D41:M41">D42+D43</f>
        <v>3790000</v>
      </c>
      <c r="E41" s="287">
        <f t="shared" si="10"/>
        <v>0</v>
      </c>
      <c r="F41" s="287">
        <f t="shared" si="10"/>
        <v>0</v>
      </c>
      <c r="G41" s="287">
        <f t="shared" si="10"/>
        <v>0</v>
      </c>
      <c r="H41" s="287">
        <f t="shared" si="10"/>
        <v>0</v>
      </c>
      <c r="I41" s="287">
        <f t="shared" si="10"/>
        <v>0</v>
      </c>
      <c r="J41" s="287">
        <f>J42+J43+J44</f>
        <v>4100000</v>
      </c>
      <c r="K41" s="287">
        <f>K42+K43+K44</f>
        <v>4100000</v>
      </c>
      <c r="L41" s="287">
        <f>L42+L43+L44</f>
        <v>2666843</v>
      </c>
      <c r="M41" s="287">
        <f t="shared" si="10"/>
        <v>1433157</v>
      </c>
      <c r="N41" s="288">
        <f>L41/C41</f>
        <v>0.6504495121951219</v>
      </c>
    </row>
    <row r="42" spans="1:14" ht="15">
      <c r="A42" s="282" t="s">
        <v>0</v>
      </c>
      <c r="B42" s="291"/>
      <c r="C42" s="283">
        <v>4100000</v>
      </c>
      <c r="D42" s="283">
        <f>4100000-310000</f>
        <v>3790000</v>
      </c>
      <c r="E42" s="283"/>
      <c r="F42" s="283"/>
      <c r="G42" s="284"/>
      <c r="H42" s="486"/>
      <c r="I42" s="487"/>
      <c r="J42" s="283">
        <v>4100000</v>
      </c>
      <c r="K42" s="283">
        <v>4100000</v>
      </c>
      <c r="L42" s="283">
        <v>2666843</v>
      </c>
      <c r="M42" s="283">
        <f>J42-L42</f>
        <v>1433157</v>
      </c>
      <c r="N42" s="331">
        <f>L42/C42</f>
        <v>0.6504495121951219</v>
      </c>
    </row>
    <row r="43" spans="1:14" ht="15">
      <c r="A43" s="133" t="s">
        <v>13</v>
      </c>
      <c r="B43" s="134"/>
      <c r="C43" s="135">
        <v>0</v>
      </c>
      <c r="D43" s="135"/>
      <c r="E43" s="135"/>
      <c r="F43" s="135"/>
      <c r="G43" s="136"/>
      <c r="H43" s="119"/>
      <c r="I43" s="124"/>
      <c r="J43" s="135"/>
      <c r="K43" s="135"/>
      <c r="L43" s="135"/>
      <c r="M43" s="135">
        <f>J43-L43</f>
        <v>0</v>
      </c>
      <c r="N43" s="336"/>
    </row>
    <row r="44" spans="1:14" ht="15.75" thickBot="1">
      <c r="A44" s="121" t="s">
        <v>7</v>
      </c>
      <c r="B44" s="126"/>
      <c r="C44" s="127"/>
      <c r="D44" s="127"/>
      <c r="E44" s="127"/>
      <c r="F44" s="127"/>
      <c r="G44" s="127"/>
      <c r="H44" s="120"/>
      <c r="I44" s="124"/>
      <c r="J44" s="128"/>
      <c r="K44" s="128"/>
      <c r="L44" s="128"/>
      <c r="M44" s="127"/>
      <c r="N44" s="333"/>
    </row>
    <row r="45" spans="1:14" ht="24.75" customHeight="1" thickBot="1">
      <c r="A45" s="285" t="s">
        <v>15</v>
      </c>
      <c r="B45" s="286" t="s">
        <v>152</v>
      </c>
      <c r="C45" s="287">
        <f>C46+C47+C58</f>
        <v>12059153</v>
      </c>
      <c r="D45" s="287">
        <f aca="true" t="shared" si="11" ref="D45:M45">D46+D47+D58</f>
        <v>12001153</v>
      </c>
      <c r="E45" s="287">
        <f t="shared" si="11"/>
        <v>0</v>
      </c>
      <c r="F45" s="287">
        <f t="shared" si="11"/>
        <v>0</v>
      </c>
      <c r="G45" s="287">
        <f t="shared" si="11"/>
        <v>0</v>
      </c>
      <c r="H45" s="287">
        <f t="shared" si="11"/>
        <v>0</v>
      </c>
      <c r="I45" s="287">
        <f t="shared" si="11"/>
        <v>0</v>
      </c>
      <c r="J45" s="287">
        <f t="shared" si="11"/>
        <v>11742085</v>
      </c>
      <c r="K45" s="287">
        <f t="shared" si="11"/>
        <v>11742085</v>
      </c>
      <c r="L45" s="287">
        <f t="shared" si="11"/>
        <v>9452182</v>
      </c>
      <c r="M45" s="287">
        <f t="shared" si="11"/>
        <v>2289903</v>
      </c>
      <c r="N45" s="288">
        <f>L45/C45</f>
        <v>0.7838180674878243</v>
      </c>
    </row>
    <row r="46" spans="1:14" ht="15">
      <c r="A46" s="282" t="s">
        <v>140</v>
      </c>
      <c r="B46" s="292" t="s">
        <v>20</v>
      </c>
      <c r="C46" s="283">
        <v>11000000</v>
      </c>
      <c r="D46" s="283">
        <v>11000000</v>
      </c>
      <c r="E46" s="283"/>
      <c r="F46" s="283"/>
      <c r="G46" s="283"/>
      <c r="H46" s="283"/>
      <c r="I46" s="283"/>
      <c r="J46" s="293">
        <v>11000000</v>
      </c>
      <c r="K46" s="294">
        <v>11000000</v>
      </c>
      <c r="L46" s="283">
        <v>8734083</v>
      </c>
      <c r="M46" s="283">
        <f>J46-L46</f>
        <v>2265917</v>
      </c>
      <c r="N46" s="331">
        <f>L46/C46</f>
        <v>0.7940075454545454</v>
      </c>
    </row>
    <row r="47" spans="1:14" ht="14.25">
      <c r="A47" s="114" t="s">
        <v>155</v>
      </c>
      <c r="B47" s="137"/>
      <c r="C47" s="138">
        <f>C48+C49</f>
        <v>1070000</v>
      </c>
      <c r="D47" s="138">
        <f aca="true" t="shared" si="12" ref="D47:M47">D48+D49</f>
        <v>1012000</v>
      </c>
      <c r="E47" s="138">
        <f t="shared" si="12"/>
        <v>0</v>
      </c>
      <c r="F47" s="138">
        <f t="shared" si="12"/>
        <v>0</v>
      </c>
      <c r="G47" s="138">
        <f t="shared" si="12"/>
        <v>0</v>
      </c>
      <c r="H47" s="138">
        <f t="shared" si="12"/>
        <v>0</v>
      </c>
      <c r="I47" s="138">
        <f t="shared" si="12"/>
        <v>0</v>
      </c>
      <c r="J47" s="138">
        <f t="shared" si="12"/>
        <v>752932</v>
      </c>
      <c r="K47" s="138">
        <f t="shared" si="12"/>
        <v>752932</v>
      </c>
      <c r="L47" s="138">
        <f t="shared" si="12"/>
        <v>728946</v>
      </c>
      <c r="M47" s="138">
        <f t="shared" si="12"/>
        <v>23986</v>
      </c>
      <c r="N47" s="337">
        <f>L47/C47</f>
        <v>0.6812579439252336</v>
      </c>
    </row>
    <row r="48" spans="1:14" ht="15">
      <c r="A48" s="139" t="s">
        <v>16</v>
      </c>
      <c r="B48" s="137" t="s">
        <v>20</v>
      </c>
      <c r="C48" s="115">
        <v>1012000</v>
      </c>
      <c r="D48" s="115">
        <v>962000</v>
      </c>
      <c r="E48" s="115"/>
      <c r="F48" s="115"/>
      <c r="G48" s="116"/>
      <c r="H48" s="330"/>
      <c r="I48" s="330"/>
      <c r="J48" s="117">
        <v>695417</v>
      </c>
      <c r="K48" s="117">
        <v>695417</v>
      </c>
      <c r="L48" s="115">
        <v>688486</v>
      </c>
      <c r="M48" s="115">
        <f>J48-L48</f>
        <v>6931</v>
      </c>
      <c r="N48" s="332">
        <f>L48/C48</f>
        <v>0.6803221343873518</v>
      </c>
    </row>
    <row r="49" spans="1:14" ht="15">
      <c r="A49" s="139" t="s">
        <v>17</v>
      </c>
      <c r="B49" s="137" t="s">
        <v>21</v>
      </c>
      <c r="C49" s="115">
        <v>58000</v>
      </c>
      <c r="D49" s="115">
        <v>50000</v>
      </c>
      <c r="E49" s="115"/>
      <c r="F49" s="115"/>
      <c r="G49" s="116"/>
      <c r="H49" s="330"/>
      <c r="I49" s="330"/>
      <c r="J49" s="115">
        <v>57515</v>
      </c>
      <c r="K49" s="115">
        <v>57515</v>
      </c>
      <c r="L49" s="115">
        <v>40460</v>
      </c>
      <c r="M49" s="115">
        <f>J49-L49</f>
        <v>17055</v>
      </c>
      <c r="N49" s="332">
        <f>L49/C49</f>
        <v>0.6975862068965517</v>
      </c>
    </row>
    <row r="50" spans="1:14" ht="15" hidden="1">
      <c r="A50" s="114" t="s">
        <v>0</v>
      </c>
      <c r="B50" s="118"/>
      <c r="C50" s="115">
        <f aca="true" t="shared" si="13" ref="C50:C57">D50+E50+F50+G50</f>
        <v>0</v>
      </c>
      <c r="D50" s="115"/>
      <c r="E50" s="115"/>
      <c r="F50" s="115"/>
      <c r="G50" s="116"/>
      <c r="H50" s="330"/>
      <c r="I50" s="330"/>
      <c r="J50" s="115"/>
      <c r="K50" s="115"/>
      <c r="L50" s="115"/>
      <c r="M50" s="115"/>
      <c r="N50" s="332"/>
    </row>
    <row r="51" spans="1:14" ht="15" hidden="1">
      <c r="A51" s="114" t="s">
        <v>1</v>
      </c>
      <c r="B51" s="118"/>
      <c r="C51" s="115">
        <f t="shared" si="13"/>
        <v>0</v>
      </c>
      <c r="D51" s="115"/>
      <c r="E51" s="115"/>
      <c r="F51" s="115"/>
      <c r="G51" s="116"/>
      <c r="H51" s="330"/>
      <c r="I51" s="330"/>
      <c r="J51" s="115"/>
      <c r="K51" s="115"/>
      <c r="L51" s="115"/>
      <c r="M51" s="115"/>
      <c r="N51" s="332"/>
    </row>
    <row r="52" spans="1:14" ht="15" hidden="1">
      <c r="A52" s="114" t="s">
        <v>139</v>
      </c>
      <c r="B52" s="118"/>
      <c r="C52" s="115">
        <f t="shared" si="13"/>
        <v>0</v>
      </c>
      <c r="D52" s="115"/>
      <c r="E52" s="115"/>
      <c r="F52" s="115"/>
      <c r="G52" s="116"/>
      <c r="H52" s="330"/>
      <c r="I52" s="330"/>
      <c r="J52" s="115"/>
      <c r="K52" s="115"/>
      <c r="L52" s="115"/>
      <c r="M52" s="115"/>
      <c r="N52" s="332"/>
    </row>
    <row r="53" spans="1:14" ht="15" hidden="1">
      <c r="A53" s="114" t="s">
        <v>2</v>
      </c>
      <c r="B53" s="118"/>
      <c r="C53" s="115">
        <f t="shared" si="13"/>
        <v>0</v>
      </c>
      <c r="D53" s="115"/>
      <c r="E53" s="115"/>
      <c r="F53" s="115"/>
      <c r="G53" s="116"/>
      <c r="H53" s="330"/>
      <c r="I53" s="330"/>
      <c r="J53" s="115"/>
      <c r="K53" s="115"/>
      <c r="L53" s="115"/>
      <c r="M53" s="115"/>
      <c r="N53" s="332"/>
    </row>
    <row r="54" spans="1:14" ht="15" hidden="1">
      <c r="A54" s="114" t="s">
        <v>3</v>
      </c>
      <c r="B54" s="118"/>
      <c r="C54" s="115">
        <f t="shared" si="13"/>
        <v>0</v>
      </c>
      <c r="D54" s="115"/>
      <c r="E54" s="115"/>
      <c r="F54" s="115"/>
      <c r="G54" s="116"/>
      <c r="H54" s="330"/>
      <c r="I54" s="330"/>
      <c r="J54" s="115"/>
      <c r="K54" s="115"/>
      <c r="L54" s="115"/>
      <c r="M54" s="115"/>
      <c r="N54" s="332"/>
    </row>
    <row r="55" spans="1:14" ht="15" hidden="1">
      <c r="A55" s="114" t="s">
        <v>4</v>
      </c>
      <c r="B55" s="118"/>
      <c r="C55" s="115">
        <f t="shared" si="13"/>
        <v>0</v>
      </c>
      <c r="D55" s="115"/>
      <c r="E55" s="115"/>
      <c r="F55" s="115"/>
      <c r="G55" s="116"/>
      <c r="H55" s="330"/>
      <c r="I55" s="330"/>
      <c r="J55" s="115"/>
      <c r="K55" s="115"/>
      <c r="L55" s="115"/>
      <c r="M55" s="115"/>
      <c r="N55" s="332"/>
    </row>
    <row r="56" spans="1:14" ht="15" hidden="1">
      <c r="A56" s="114" t="s">
        <v>5</v>
      </c>
      <c r="B56" s="118"/>
      <c r="C56" s="115">
        <f t="shared" si="13"/>
        <v>0</v>
      </c>
      <c r="D56" s="115"/>
      <c r="E56" s="115"/>
      <c r="F56" s="115"/>
      <c r="G56" s="116"/>
      <c r="H56" s="330"/>
      <c r="I56" s="330"/>
      <c r="J56" s="115"/>
      <c r="K56" s="115"/>
      <c r="L56" s="115"/>
      <c r="M56" s="115"/>
      <c r="N56" s="332"/>
    </row>
    <row r="57" spans="1:14" ht="15" hidden="1">
      <c r="A57" s="114" t="s">
        <v>6</v>
      </c>
      <c r="B57" s="118"/>
      <c r="C57" s="115">
        <f t="shared" si="13"/>
        <v>0</v>
      </c>
      <c r="D57" s="115"/>
      <c r="E57" s="115"/>
      <c r="F57" s="115"/>
      <c r="G57" s="116"/>
      <c r="H57" s="330"/>
      <c r="I57" s="330"/>
      <c r="J57" s="115"/>
      <c r="K57" s="115"/>
      <c r="L57" s="115"/>
      <c r="M57" s="115"/>
      <c r="N57" s="332"/>
    </row>
    <row r="58" spans="1:14" ht="15">
      <c r="A58" s="121" t="s">
        <v>7</v>
      </c>
      <c r="B58" s="118"/>
      <c r="C58" s="141">
        <v>-10847</v>
      </c>
      <c r="D58" s="141">
        <v>-10847</v>
      </c>
      <c r="E58" s="115"/>
      <c r="F58" s="115"/>
      <c r="G58" s="116"/>
      <c r="H58" s="330"/>
      <c r="I58" s="330"/>
      <c r="J58" s="122">
        <v>-10847</v>
      </c>
      <c r="K58" s="122">
        <v>-10847</v>
      </c>
      <c r="L58" s="122">
        <v>-10847</v>
      </c>
      <c r="M58" s="115"/>
      <c r="N58" s="332"/>
    </row>
    <row r="59" spans="1:14" ht="15">
      <c r="A59" s="123" t="s">
        <v>8</v>
      </c>
      <c r="B59" s="118"/>
      <c r="C59" s="115"/>
      <c r="D59" s="115"/>
      <c r="E59" s="115"/>
      <c r="F59" s="115"/>
      <c r="G59" s="116"/>
      <c r="H59" s="330"/>
      <c r="I59" s="330"/>
      <c r="J59" s="115"/>
      <c r="K59" s="115"/>
      <c r="L59" s="115"/>
      <c r="M59" s="115"/>
      <c r="N59" s="332"/>
    </row>
    <row r="60" spans="1:14" ht="15">
      <c r="A60" s="130" t="s">
        <v>16</v>
      </c>
      <c r="B60" s="126" t="s">
        <v>20</v>
      </c>
      <c r="C60" s="127">
        <f>C48+C46</f>
        <v>12012000</v>
      </c>
      <c r="D60" s="127">
        <f>D48+D46</f>
        <v>11962000</v>
      </c>
      <c r="E60" s="127">
        <f>E46+E48</f>
        <v>0</v>
      </c>
      <c r="F60" s="127">
        <f>F46+F48</f>
        <v>0</v>
      </c>
      <c r="G60" s="140">
        <f>G46+G48</f>
        <v>0</v>
      </c>
      <c r="H60" s="484" t="s">
        <v>108</v>
      </c>
      <c r="I60" s="485"/>
      <c r="J60" s="127">
        <f>J48+J46</f>
        <v>11695417</v>
      </c>
      <c r="K60" s="127">
        <f>K48+K46</f>
        <v>11695417</v>
      </c>
      <c r="L60" s="127">
        <f>L48+L46</f>
        <v>9422569</v>
      </c>
      <c r="M60" s="127">
        <f>J60-L60</f>
        <v>2272848</v>
      </c>
      <c r="N60" s="333">
        <f>L60/C60</f>
        <v>0.7844296536796537</v>
      </c>
    </row>
    <row r="61" spans="1:14" ht="14.25">
      <c r="A61" s="130" t="s">
        <v>18</v>
      </c>
      <c r="B61" s="126" t="s">
        <v>21</v>
      </c>
      <c r="C61" s="127">
        <f>C49</f>
        <v>58000</v>
      </c>
      <c r="D61" s="127">
        <f aca="true" t="shared" si="14" ref="D61:M61">D49</f>
        <v>50000</v>
      </c>
      <c r="E61" s="127">
        <f t="shared" si="14"/>
        <v>0</v>
      </c>
      <c r="F61" s="127">
        <f t="shared" si="14"/>
        <v>0</v>
      </c>
      <c r="G61" s="127">
        <f t="shared" si="14"/>
        <v>0</v>
      </c>
      <c r="H61" s="127">
        <f t="shared" si="14"/>
        <v>0</v>
      </c>
      <c r="I61" s="127">
        <f t="shared" si="14"/>
        <v>0</v>
      </c>
      <c r="J61" s="127">
        <f t="shared" si="14"/>
        <v>57515</v>
      </c>
      <c r="K61" s="127">
        <f t="shared" si="14"/>
        <v>57515</v>
      </c>
      <c r="L61" s="127">
        <f t="shared" si="14"/>
        <v>40460</v>
      </c>
      <c r="M61" s="127">
        <f t="shared" si="14"/>
        <v>17055</v>
      </c>
      <c r="N61" s="333">
        <f>L61/C61</f>
        <v>0.6975862068965517</v>
      </c>
    </row>
    <row r="62" spans="1:18" ht="15">
      <c r="A62" s="125" t="s">
        <v>19</v>
      </c>
      <c r="B62" s="126" t="s">
        <v>22</v>
      </c>
      <c r="C62" s="127">
        <f>D62+E62+F62+G62</f>
        <v>0</v>
      </c>
      <c r="D62" s="127"/>
      <c r="E62" s="127"/>
      <c r="F62" s="127"/>
      <c r="G62" s="127"/>
      <c r="H62" s="120" t="s">
        <v>101</v>
      </c>
      <c r="I62" s="124">
        <f>C60+C61+C62</f>
        <v>12070000</v>
      </c>
      <c r="J62" s="127"/>
      <c r="K62" s="127"/>
      <c r="L62" s="127"/>
      <c r="M62" s="127">
        <f>J62-L62</f>
        <v>0</v>
      </c>
      <c r="N62" s="333"/>
      <c r="R62" s="7"/>
    </row>
    <row r="63" spans="1:14" ht="15" thickBot="1">
      <c r="A63" s="289" t="s">
        <v>7</v>
      </c>
      <c r="B63" s="176"/>
      <c r="C63" s="166">
        <f aca="true" t="shared" si="15" ref="C63:I63">C58</f>
        <v>-10847</v>
      </c>
      <c r="D63" s="166">
        <f t="shared" si="15"/>
        <v>-10847</v>
      </c>
      <c r="E63" s="166">
        <f t="shared" si="15"/>
        <v>0</v>
      </c>
      <c r="F63" s="166">
        <f t="shared" si="15"/>
        <v>0</v>
      </c>
      <c r="G63" s="166">
        <f t="shared" si="15"/>
        <v>0</v>
      </c>
      <c r="H63" s="166">
        <f t="shared" si="15"/>
        <v>0</v>
      </c>
      <c r="I63" s="166">
        <f t="shared" si="15"/>
        <v>0</v>
      </c>
      <c r="J63" s="166">
        <f>J58</f>
        <v>-10847</v>
      </c>
      <c r="K63" s="166">
        <f>K58</f>
        <v>-10847</v>
      </c>
      <c r="L63" s="166">
        <f>L58</f>
        <v>-10847</v>
      </c>
      <c r="M63" s="164"/>
      <c r="N63" s="334"/>
    </row>
    <row r="64" spans="1:15" ht="24.75" customHeight="1" thickBot="1">
      <c r="A64" s="49" t="s">
        <v>294</v>
      </c>
      <c r="B64" s="286" t="s">
        <v>152</v>
      </c>
      <c r="C64" s="287">
        <f>C65+C66+C71+C72+C75+C70</f>
        <v>39827390</v>
      </c>
      <c r="D64" s="287">
        <f aca="true" t="shared" si="16" ref="D64:M64">D65+D66+D71+D72+D75+D70</f>
        <v>32539126</v>
      </c>
      <c r="E64" s="287">
        <f t="shared" si="16"/>
        <v>0</v>
      </c>
      <c r="F64" s="287">
        <f t="shared" si="16"/>
        <v>0</v>
      </c>
      <c r="G64" s="287">
        <f t="shared" si="16"/>
        <v>0</v>
      </c>
      <c r="H64" s="287">
        <f t="shared" si="16"/>
        <v>0</v>
      </c>
      <c r="I64" s="287">
        <f t="shared" si="16"/>
        <v>0</v>
      </c>
      <c r="J64" s="287">
        <f t="shared" si="16"/>
        <v>23670851</v>
      </c>
      <c r="K64" s="287">
        <f t="shared" si="16"/>
        <v>23670851</v>
      </c>
      <c r="L64" s="287">
        <f t="shared" si="16"/>
        <v>23005020</v>
      </c>
      <c r="M64" s="287">
        <f t="shared" si="16"/>
        <v>665831</v>
      </c>
      <c r="N64" s="288">
        <f>L64/C64</f>
        <v>0.5776180663608638</v>
      </c>
      <c r="O64" s="168"/>
    </row>
    <row r="65" spans="1:15" ht="15">
      <c r="A65" s="378" t="s">
        <v>254</v>
      </c>
      <c r="B65" s="291"/>
      <c r="C65" s="283">
        <v>360000</v>
      </c>
      <c r="D65" s="283">
        <v>360000</v>
      </c>
      <c r="E65" s="283"/>
      <c r="F65" s="283"/>
      <c r="G65" s="284"/>
      <c r="H65" s="330"/>
      <c r="I65" s="330"/>
      <c r="J65" s="283">
        <v>360000</v>
      </c>
      <c r="K65" s="283">
        <v>360000</v>
      </c>
      <c r="L65" s="283">
        <v>204906</v>
      </c>
      <c r="M65" s="283">
        <f aca="true" t="shared" si="17" ref="M65:M72">J65-L65</f>
        <v>155094</v>
      </c>
      <c r="N65" s="331">
        <f>M65/C65</f>
        <v>0.4308166666666667</v>
      </c>
      <c r="O65" s="168"/>
    </row>
    <row r="66" spans="1:15" ht="15">
      <c r="A66" s="444" t="s">
        <v>155</v>
      </c>
      <c r="B66" s="376" t="s">
        <v>253</v>
      </c>
      <c r="C66" s="374">
        <v>26247600</v>
      </c>
      <c r="D66" s="374">
        <v>22754336</v>
      </c>
      <c r="E66" s="374">
        <f>E67+E68</f>
        <v>0</v>
      </c>
      <c r="F66" s="374">
        <f>F67+F68</f>
        <v>0</v>
      </c>
      <c r="G66" s="374">
        <f>G67+G68</f>
        <v>0</v>
      </c>
      <c r="H66" s="374">
        <f>H67+H68</f>
        <v>0</v>
      </c>
      <c r="I66" s="374">
        <f>I67+I68</f>
        <v>0</v>
      </c>
      <c r="J66" s="374">
        <v>16018063</v>
      </c>
      <c r="K66" s="374">
        <v>16018063</v>
      </c>
      <c r="L66" s="374">
        <v>15688326</v>
      </c>
      <c r="M66" s="374">
        <f t="shared" si="17"/>
        <v>329737</v>
      </c>
      <c r="N66" s="375">
        <f aca="true" t="shared" si="18" ref="N66:N72">L66/C66</f>
        <v>0.5977051616147762</v>
      </c>
      <c r="O66" s="168"/>
    </row>
    <row r="67" spans="1:15" ht="15" hidden="1">
      <c r="A67" s="377" t="s">
        <v>251</v>
      </c>
      <c r="B67" s="132"/>
      <c r="C67" s="115">
        <v>21800000</v>
      </c>
      <c r="D67" s="115">
        <v>10430595</v>
      </c>
      <c r="E67" s="115"/>
      <c r="F67" s="115"/>
      <c r="G67" s="116"/>
      <c r="H67" s="330"/>
      <c r="I67" s="330"/>
      <c r="J67" s="115"/>
      <c r="K67" s="115"/>
      <c r="L67" s="115"/>
      <c r="M67" s="115">
        <f t="shared" si="17"/>
        <v>0</v>
      </c>
      <c r="N67" s="332">
        <f t="shared" si="18"/>
        <v>0</v>
      </c>
      <c r="O67" s="168"/>
    </row>
    <row r="68" spans="1:15" ht="15" hidden="1">
      <c r="A68" s="377" t="s">
        <v>252</v>
      </c>
      <c r="B68" s="132"/>
      <c r="C68" s="115">
        <v>850000</v>
      </c>
      <c r="D68" s="115">
        <v>350000</v>
      </c>
      <c r="E68" s="115"/>
      <c r="F68" s="115"/>
      <c r="G68" s="116"/>
      <c r="H68" s="330"/>
      <c r="I68" s="330"/>
      <c r="J68" s="115"/>
      <c r="K68" s="115"/>
      <c r="L68" s="115"/>
      <c r="M68" s="115">
        <f t="shared" si="17"/>
        <v>0</v>
      </c>
      <c r="N68" s="332">
        <f t="shared" si="18"/>
        <v>0</v>
      </c>
      <c r="O68" s="168"/>
    </row>
    <row r="69" spans="1:15" ht="15" hidden="1">
      <c r="A69" s="114" t="s">
        <v>139</v>
      </c>
      <c r="B69" s="132"/>
      <c r="C69" s="115"/>
      <c r="D69" s="115"/>
      <c r="E69" s="115"/>
      <c r="F69" s="115"/>
      <c r="G69" s="116"/>
      <c r="H69" s="330"/>
      <c r="I69" s="330"/>
      <c r="J69" s="115"/>
      <c r="K69" s="115"/>
      <c r="L69" s="115"/>
      <c r="M69" s="115">
        <f t="shared" si="17"/>
        <v>0</v>
      </c>
      <c r="N69" s="332" t="e">
        <f t="shared" si="18"/>
        <v>#DIV/0!</v>
      </c>
      <c r="O69" s="168"/>
    </row>
    <row r="70" spans="1:15" ht="15">
      <c r="A70" s="114" t="s">
        <v>2</v>
      </c>
      <c r="B70" s="132"/>
      <c r="C70" s="115">
        <v>883000</v>
      </c>
      <c r="D70" s="115">
        <v>701000</v>
      </c>
      <c r="E70" s="115"/>
      <c r="F70" s="115"/>
      <c r="G70" s="116"/>
      <c r="H70" s="330"/>
      <c r="I70" s="330"/>
      <c r="J70" s="115">
        <v>880710</v>
      </c>
      <c r="K70" s="115">
        <v>880710</v>
      </c>
      <c r="L70" s="115">
        <v>699710</v>
      </c>
      <c r="M70" s="115">
        <f t="shared" si="17"/>
        <v>181000</v>
      </c>
      <c r="N70" s="332">
        <f t="shared" si="18"/>
        <v>0.7924235560588901</v>
      </c>
      <c r="O70" s="168"/>
    </row>
    <row r="71" spans="1:15" ht="15">
      <c r="A71" s="370" t="s">
        <v>295</v>
      </c>
      <c r="B71" s="132"/>
      <c r="C71" s="115">
        <v>1723000</v>
      </c>
      <c r="D71" s="115">
        <v>1487000</v>
      </c>
      <c r="E71" s="115"/>
      <c r="F71" s="115"/>
      <c r="G71" s="116"/>
      <c r="H71" s="330"/>
      <c r="I71" s="330"/>
      <c r="J71" s="115">
        <v>928306</v>
      </c>
      <c r="K71" s="115">
        <v>928306</v>
      </c>
      <c r="L71" s="115">
        <v>928306</v>
      </c>
      <c r="M71" s="115">
        <f t="shared" si="17"/>
        <v>0</v>
      </c>
      <c r="N71" s="332">
        <f t="shared" si="18"/>
        <v>0.5387730702263493</v>
      </c>
      <c r="O71" s="168"/>
    </row>
    <row r="72" spans="1:15" ht="15">
      <c r="A72" s="448" t="s">
        <v>4</v>
      </c>
      <c r="B72" s="371"/>
      <c r="C72" s="372">
        <v>10614000</v>
      </c>
      <c r="D72" s="372">
        <v>7237000</v>
      </c>
      <c r="E72" s="372">
        <f>E73+E74</f>
        <v>0</v>
      </c>
      <c r="F72" s="372">
        <f>F73+F74</f>
        <v>0</v>
      </c>
      <c r="G72" s="372">
        <f>G73+G74</f>
        <v>0</v>
      </c>
      <c r="H72" s="372">
        <f>H73+H74</f>
        <v>0</v>
      </c>
      <c r="I72" s="372">
        <f>I73+I74</f>
        <v>0</v>
      </c>
      <c r="J72" s="372">
        <v>5483982</v>
      </c>
      <c r="K72" s="372">
        <v>5483982</v>
      </c>
      <c r="L72" s="372">
        <v>5483982</v>
      </c>
      <c r="M72" s="372">
        <f t="shared" si="17"/>
        <v>0</v>
      </c>
      <c r="N72" s="373">
        <f t="shared" si="18"/>
        <v>0.5166743923120407</v>
      </c>
      <c r="O72" s="168"/>
    </row>
    <row r="73" spans="1:15" ht="15" hidden="1">
      <c r="A73" s="370" t="s">
        <v>249</v>
      </c>
      <c r="B73" s="132"/>
      <c r="C73" s="115">
        <v>4697000</v>
      </c>
      <c r="D73" s="115">
        <v>4697000</v>
      </c>
      <c r="E73" s="115"/>
      <c r="F73" s="115"/>
      <c r="G73" s="116"/>
      <c r="H73" s="330"/>
      <c r="I73" s="330"/>
      <c r="J73" s="115"/>
      <c r="K73" s="115"/>
      <c r="L73" s="115"/>
      <c r="M73" s="115"/>
      <c r="N73" s="332"/>
      <c r="O73" s="168"/>
    </row>
    <row r="74" spans="1:15" ht="15" hidden="1">
      <c r="A74" s="370" t="s">
        <v>250</v>
      </c>
      <c r="B74" s="132"/>
      <c r="C74" s="115">
        <v>70000</v>
      </c>
      <c r="D74" s="115">
        <v>15000</v>
      </c>
      <c r="E74" s="115"/>
      <c r="F74" s="115"/>
      <c r="G74" s="116"/>
      <c r="H74" s="330"/>
      <c r="I74" s="330"/>
      <c r="J74" s="115">
        <v>0</v>
      </c>
      <c r="K74" s="115"/>
      <c r="L74" s="115"/>
      <c r="M74" s="115"/>
      <c r="N74" s="332"/>
      <c r="O74" s="168"/>
    </row>
    <row r="75" spans="1:15" ht="15">
      <c r="A75" s="121" t="s">
        <v>7</v>
      </c>
      <c r="B75" s="132"/>
      <c r="C75" s="115">
        <v>-210</v>
      </c>
      <c r="D75" s="115">
        <v>-210</v>
      </c>
      <c r="E75" s="115"/>
      <c r="F75" s="115"/>
      <c r="G75" s="116"/>
      <c r="H75" s="330"/>
      <c r="I75" s="330"/>
      <c r="J75" s="141">
        <v>-210</v>
      </c>
      <c r="K75" s="141">
        <v>-210</v>
      </c>
      <c r="L75" s="141">
        <v>-210</v>
      </c>
      <c r="M75" s="115"/>
      <c r="N75" s="332"/>
      <c r="O75" s="168"/>
    </row>
    <row r="76" spans="1:15" ht="15">
      <c r="A76" s="123" t="s">
        <v>8</v>
      </c>
      <c r="B76" s="132"/>
      <c r="C76" s="115"/>
      <c r="D76" s="115"/>
      <c r="E76" s="115"/>
      <c r="F76" s="115"/>
      <c r="G76" s="116"/>
      <c r="H76" s="330"/>
      <c r="I76" s="330"/>
      <c r="J76" s="115"/>
      <c r="K76" s="115"/>
      <c r="L76" s="115"/>
      <c r="M76" s="115"/>
      <c r="N76" s="332"/>
      <c r="O76" s="168"/>
    </row>
    <row r="77" spans="1:15" ht="14.25">
      <c r="A77" s="6" t="s">
        <v>269</v>
      </c>
      <c r="B77" s="379" t="s">
        <v>243</v>
      </c>
      <c r="C77" s="127">
        <v>1436439</v>
      </c>
      <c r="D77" s="127">
        <v>1436439</v>
      </c>
      <c r="E77" s="127"/>
      <c r="F77" s="127"/>
      <c r="G77" s="127"/>
      <c r="H77" s="127"/>
      <c r="I77" s="127"/>
      <c r="J77" s="127">
        <v>1246631</v>
      </c>
      <c r="K77" s="127">
        <v>1246631</v>
      </c>
      <c r="L77" s="127">
        <v>1091537</v>
      </c>
      <c r="M77" s="127">
        <f>J77-L77</f>
        <v>155094</v>
      </c>
      <c r="N77" s="333">
        <f>L77/C77</f>
        <v>0.7598909525569829</v>
      </c>
      <c r="O77" s="168"/>
    </row>
    <row r="78" spans="1:15" ht="14.25">
      <c r="A78" s="6" t="s">
        <v>245</v>
      </c>
      <c r="B78" s="142" t="s">
        <v>26</v>
      </c>
      <c r="C78" s="127">
        <v>4525589</v>
      </c>
      <c r="D78" s="127">
        <v>4029839</v>
      </c>
      <c r="E78" s="127"/>
      <c r="F78" s="127"/>
      <c r="G78" s="127"/>
      <c r="H78" s="127"/>
      <c r="I78" s="127"/>
      <c r="J78" s="127">
        <v>2909942</v>
      </c>
      <c r="K78" s="127">
        <v>2909942</v>
      </c>
      <c r="L78" s="127">
        <v>2894047</v>
      </c>
      <c r="M78" s="127">
        <f>J78-L78</f>
        <v>15895</v>
      </c>
      <c r="N78" s="333">
        <f>L78/C78</f>
        <v>0.6394851587274054</v>
      </c>
      <c r="O78" s="168"/>
    </row>
    <row r="79" spans="1:14" ht="14.25">
      <c r="A79" s="6" t="s">
        <v>246</v>
      </c>
      <c r="B79" s="126" t="s">
        <v>196</v>
      </c>
      <c r="C79" s="127">
        <v>837324</v>
      </c>
      <c r="D79" s="127">
        <v>715917</v>
      </c>
      <c r="E79" s="127"/>
      <c r="F79" s="127"/>
      <c r="G79" s="127"/>
      <c r="H79" s="127"/>
      <c r="I79" s="127"/>
      <c r="J79" s="127">
        <v>439212</v>
      </c>
      <c r="K79" s="127">
        <v>439212</v>
      </c>
      <c r="L79" s="127">
        <v>439212</v>
      </c>
      <c r="M79" s="127">
        <f aca="true" t="shared" si="19" ref="M79:M86">J79-L79</f>
        <v>0</v>
      </c>
      <c r="N79" s="333">
        <f aca="true" t="shared" si="20" ref="N79:N85">L79/C79</f>
        <v>0.5245424710148043</v>
      </c>
    </row>
    <row r="80" spans="1:14" ht="14.25">
      <c r="A80" s="6" t="s">
        <v>270</v>
      </c>
      <c r="B80" s="126" t="s">
        <v>178</v>
      </c>
      <c r="C80" s="127">
        <v>9851937</v>
      </c>
      <c r="D80" s="127">
        <v>8935384</v>
      </c>
      <c r="E80" s="127"/>
      <c r="F80" s="127"/>
      <c r="G80" s="127"/>
      <c r="H80" s="127"/>
      <c r="I80" s="127"/>
      <c r="J80" s="127">
        <v>6993642</v>
      </c>
      <c r="K80" s="127">
        <v>6993642</v>
      </c>
      <c r="L80" s="127">
        <v>6982396</v>
      </c>
      <c r="M80" s="127">
        <f t="shared" si="19"/>
        <v>11246</v>
      </c>
      <c r="N80" s="333">
        <f t="shared" si="20"/>
        <v>0.7087333181282016</v>
      </c>
    </row>
    <row r="81" spans="1:14" ht="14.25">
      <c r="A81" s="5" t="s">
        <v>271</v>
      </c>
      <c r="B81" s="126" t="s">
        <v>27</v>
      </c>
      <c r="C81" s="127">
        <v>22899311</v>
      </c>
      <c r="D81" s="127">
        <v>17210757</v>
      </c>
      <c r="E81" s="127"/>
      <c r="F81" s="127"/>
      <c r="G81" s="127"/>
      <c r="H81" s="127"/>
      <c r="I81" s="127"/>
      <c r="J81" s="127">
        <v>12061379</v>
      </c>
      <c r="K81" s="127">
        <v>12061379</v>
      </c>
      <c r="L81" s="127">
        <v>11577783</v>
      </c>
      <c r="M81" s="127">
        <f t="shared" si="19"/>
        <v>483596</v>
      </c>
      <c r="N81" s="333">
        <f t="shared" si="20"/>
        <v>0.5055952556825837</v>
      </c>
    </row>
    <row r="82" spans="1:14" ht="15" customHeight="1" hidden="1">
      <c r="A82" s="125" t="s">
        <v>193</v>
      </c>
      <c r="B82" s="126" t="s">
        <v>197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>
        <f t="shared" si="19"/>
        <v>0</v>
      </c>
      <c r="N82" s="333"/>
    </row>
    <row r="83" spans="1:14" ht="15" customHeight="1" hidden="1">
      <c r="A83" s="125" t="s">
        <v>194</v>
      </c>
      <c r="B83" s="126" t="s">
        <v>198</v>
      </c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>
        <f t="shared" si="19"/>
        <v>0</v>
      </c>
      <c r="N83" s="333" t="e">
        <f t="shared" si="20"/>
        <v>#DIV/0!</v>
      </c>
    </row>
    <row r="84" spans="1:14" ht="15" customHeight="1" hidden="1">
      <c r="A84" s="125" t="s">
        <v>195</v>
      </c>
      <c r="B84" s="126" t="s">
        <v>199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>
        <f t="shared" si="19"/>
        <v>0</v>
      </c>
      <c r="N84" s="333" t="e">
        <f t="shared" si="20"/>
        <v>#DIV/0!</v>
      </c>
    </row>
    <row r="85" spans="1:14" ht="14.25">
      <c r="A85" s="5" t="s">
        <v>247</v>
      </c>
      <c r="B85" s="126" t="s">
        <v>28</v>
      </c>
      <c r="C85" s="127">
        <v>276790</v>
      </c>
      <c r="D85" s="127">
        <v>210790</v>
      </c>
      <c r="E85" s="127"/>
      <c r="F85" s="127"/>
      <c r="G85" s="127"/>
      <c r="H85" s="127"/>
      <c r="I85" s="127"/>
      <c r="J85" s="127">
        <v>20045</v>
      </c>
      <c r="K85" s="127">
        <v>20045</v>
      </c>
      <c r="L85" s="127">
        <v>20045</v>
      </c>
      <c r="M85" s="127">
        <f t="shared" si="19"/>
        <v>0</v>
      </c>
      <c r="N85" s="333">
        <f t="shared" si="20"/>
        <v>0.07241952382672784</v>
      </c>
    </row>
    <row r="86" spans="1:14" ht="15.75" thickBot="1">
      <c r="A86" s="289" t="s">
        <v>7</v>
      </c>
      <c r="B86" s="176"/>
      <c r="C86" s="166"/>
      <c r="D86" s="166"/>
      <c r="E86" s="166"/>
      <c r="F86" s="166"/>
      <c r="G86" s="166"/>
      <c r="H86" s="295"/>
      <c r="I86" s="296"/>
      <c r="J86" s="166"/>
      <c r="K86" s="166"/>
      <c r="L86" s="166"/>
      <c r="M86" s="166">
        <f t="shared" si="19"/>
        <v>0</v>
      </c>
      <c r="N86" s="338"/>
    </row>
    <row r="87" spans="1:14" ht="24.75" customHeight="1" thickBot="1">
      <c r="A87" s="49" t="s">
        <v>293</v>
      </c>
      <c r="B87" s="286" t="s">
        <v>152</v>
      </c>
      <c r="C87" s="287">
        <f>C88+C91+C103+C100</f>
        <v>4610000</v>
      </c>
      <c r="D87" s="287">
        <f aca="true" t="shared" si="21" ref="D87:M87">D88+D91+D103+D100</f>
        <v>3806000</v>
      </c>
      <c r="E87" s="287">
        <f t="shared" si="21"/>
        <v>0</v>
      </c>
      <c r="F87" s="287">
        <f t="shared" si="21"/>
        <v>0</v>
      </c>
      <c r="G87" s="287">
        <f t="shared" si="21"/>
        <v>0</v>
      </c>
      <c r="H87" s="287">
        <f t="shared" si="21"/>
        <v>0</v>
      </c>
      <c r="I87" s="287">
        <f t="shared" si="21"/>
        <v>0</v>
      </c>
      <c r="J87" s="287">
        <f t="shared" si="21"/>
        <v>3691511</v>
      </c>
      <c r="K87" s="287">
        <f t="shared" si="21"/>
        <v>3691511</v>
      </c>
      <c r="L87" s="287">
        <f t="shared" si="21"/>
        <v>3355974</v>
      </c>
      <c r="M87" s="287">
        <f t="shared" si="21"/>
        <v>335537</v>
      </c>
      <c r="N87" s="288">
        <f>L87/C87</f>
        <v>0.7279770065075922</v>
      </c>
    </row>
    <row r="88" spans="1:14" ht="15">
      <c r="A88" s="355" t="s">
        <v>237</v>
      </c>
      <c r="B88" s="298"/>
      <c r="C88" s="299">
        <f>C89+C90</f>
        <v>4424000</v>
      </c>
      <c r="D88" s="299">
        <f aca="true" t="shared" si="22" ref="D88:M88">D89+D90</f>
        <v>3620000</v>
      </c>
      <c r="E88" s="299">
        <f t="shared" si="22"/>
        <v>0</v>
      </c>
      <c r="F88" s="299">
        <f t="shared" si="22"/>
        <v>0</v>
      </c>
      <c r="G88" s="299">
        <f t="shared" si="22"/>
        <v>0</v>
      </c>
      <c r="H88" s="299">
        <f t="shared" si="22"/>
        <v>0</v>
      </c>
      <c r="I88" s="299">
        <f t="shared" si="22"/>
        <v>0</v>
      </c>
      <c r="J88" s="299">
        <f t="shared" si="22"/>
        <v>3620000</v>
      </c>
      <c r="K88" s="299">
        <f t="shared" si="22"/>
        <v>3620000</v>
      </c>
      <c r="L88" s="299">
        <f t="shared" si="22"/>
        <v>3284463</v>
      </c>
      <c r="M88" s="299">
        <f t="shared" si="22"/>
        <v>335537</v>
      </c>
      <c r="N88" s="339">
        <f>L88/C88</f>
        <v>0.7424193037974683</v>
      </c>
    </row>
    <row r="89" spans="1:14" ht="15">
      <c r="A89" s="357" t="s">
        <v>238</v>
      </c>
      <c r="B89" s="356" t="s">
        <v>25</v>
      </c>
      <c r="C89" s="294">
        <v>4424000</v>
      </c>
      <c r="D89" s="294">
        <v>3620000</v>
      </c>
      <c r="E89" s="294"/>
      <c r="F89" s="294"/>
      <c r="G89" s="294"/>
      <c r="H89" s="294"/>
      <c r="I89" s="294"/>
      <c r="J89" s="294">
        <v>3620000</v>
      </c>
      <c r="K89" s="294">
        <v>3620000</v>
      </c>
      <c r="L89" s="294">
        <v>3284463</v>
      </c>
      <c r="M89" s="294">
        <f>J89-L89</f>
        <v>335537</v>
      </c>
      <c r="N89" s="354">
        <f>L89/C89</f>
        <v>0.7424193037974683</v>
      </c>
    </row>
    <row r="90" spans="1:14" ht="15" hidden="1">
      <c r="A90" s="357" t="s">
        <v>239</v>
      </c>
      <c r="B90" s="356" t="s">
        <v>235</v>
      </c>
      <c r="C90" s="294">
        <v>0</v>
      </c>
      <c r="D90" s="294">
        <v>0</v>
      </c>
      <c r="E90" s="294"/>
      <c r="F90" s="294"/>
      <c r="G90" s="294"/>
      <c r="H90" s="294"/>
      <c r="I90" s="294"/>
      <c r="J90" s="294">
        <v>0</v>
      </c>
      <c r="K90" s="294">
        <v>0</v>
      </c>
      <c r="L90" s="294">
        <v>0</v>
      </c>
      <c r="M90" s="294">
        <f>J90-L90</f>
        <v>0</v>
      </c>
      <c r="N90" s="354"/>
    </row>
    <row r="91" spans="1:14" ht="14.25">
      <c r="A91" s="353" t="s">
        <v>240</v>
      </c>
      <c r="B91" s="144"/>
      <c r="C91" s="146">
        <f>C92+C93</f>
        <v>180000</v>
      </c>
      <c r="D91" s="146">
        <f aca="true" t="shared" si="23" ref="D91:M91">D92+D93</f>
        <v>180000</v>
      </c>
      <c r="E91" s="146">
        <f t="shared" si="23"/>
        <v>0</v>
      </c>
      <c r="F91" s="146">
        <f t="shared" si="23"/>
        <v>0</v>
      </c>
      <c r="G91" s="146">
        <f t="shared" si="23"/>
        <v>0</v>
      </c>
      <c r="H91" s="146">
        <f t="shared" si="23"/>
        <v>0</v>
      </c>
      <c r="I91" s="146">
        <f t="shared" si="23"/>
        <v>0</v>
      </c>
      <c r="J91" s="146">
        <f t="shared" si="23"/>
        <v>71375</v>
      </c>
      <c r="K91" s="146">
        <f t="shared" si="23"/>
        <v>71375</v>
      </c>
      <c r="L91" s="146">
        <f t="shared" si="23"/>
        <v>71375</v>
      </c>
      <c r="M91" s="146">
        <f t="shared" si="23"/>
        <v>0</v>
      </c>
      <c r="N91" s="368">
        <f>L91/D91</f>
        <v>0.39652777777777776</v>
      </c>
    </row>
    <row r="92" spans="1:14" ht="15">
      <c r="A92" s="357" t="s">
        <v>238</v>
      </c>
      <c r="B92" s="230" t="s">
        <v>25</v>
      </c>
      <c r="C92" s="360">
        <v>180000</v>
      </c>
      <c r="D92" s="360">
        <v>180000</v>
      </c>
      <c r="E92" s="360"/>
      <c r="F92" s="360"/>
      <c r="G92" s="361"/>
      <c r="H92" s="362"/>
      <c r="I92" s="362"/>
      <c r="J92" s="360">
        <v>71375</v>
      </c>
      <c r="K92" s="360">
        <v>71375</v>
      </c>
      <c r="L92" s="360">
        <v>71375</v>
      </c>
      <c r="M92" s="115">
        <f aca="true" t="shared" si="24" ref="M92:M102">J92-L92</f>
        <v>0</v>
      </c>
      <c r="N92" s="341">
        <f aca="true" t="shared" si="25" ref="N92:N99">L92/C92</f>
        <v>0.39652777777777776</v>
      </c>
    </row>
    <row r="93" spans="1:14" ht="15" hidden="1">
      <c r="A93" s="357" t="s">
        <v>239</v>
      </c>
      <c r="B93" s="261" t="s">
        <v>235</v>
      </c>
      <c r="C93" s="115"/>
      <c r="D93" s="115"/>
      <c r="E93" s="115"/>
      <c r="F93" s="115"/>
      <c r="G93" s="116"/>
      <c r="H93" s="330"/>
      <c r="I93" s="330"/>
      <c r="J93" s="115"/>
      <c r="K93" s="115"/>
      <c r="L93" s="115"/>
      <c r="M93" s="115">
        <f t="shared" si="24"/>
        <v>0</v>
      </c>
      <c r="N93" s="341" t="e">
        <f t="shared" si="25"/>
        <v>#DIV/0!</v>
      </c>
    </row>
    <row r="94" spans="1:14" ht="15" hidden="1">
      <c r="A94" s="139"/>
      <c r="B94" s="118"/>
      <c r="C94" s="115"/>
      <c r="D94" s="115"/>
      <c r="E94" s="115">
        <v>2000</v>
      </c>
      <c r="F94" s="115">
        <v>2000</v>
      </c>
      <c r="G94" s="116"/>
      <c r="H94" s="484" t="s">
        <v>107</v>
      </c>
      <c r="I94" s="485"/>
      <c r="J94" s="115"/>
      <c r="K94" s="115"/>
      <c r="L94" s="115"/>
      <c r="M94" s="115">
        <f t="shared" si="24"/>
        <v>0</v>
      </c>
      <c r="N94" s="340" t="e">
        <f t="shared" si="25"/>
        <v>#DIV/0!</v>
      </c>
    </row>
    <row r="95" spans="1:14" ht="15" hidden="1">
      <c r="A95" s="114" t="s">
        <v>0</v>
      </c>
      <c r="B95" s="118"/>
      <c r="C95" s="115">
        <f aca="true" t="shared" si="26" ref="C95:C102">D95+E95+F95+G95</f>
        <v>0</v>
      </c>
      <c r="D95" s="115"/>
      <c r="E95" s="115"/>
      <c r="F95" s="115"/>
      <c r="G95" s="116"/>
      <c r="H95" s="119"/>
      <c r="I95" s="120"/>
      <c r="J95" s="115"/>
      <c r="K95" s="115"/>
      <c r="L95" s="115"/>
      <c r="M95" s="115">
        <f t="shared" si="24"/>
        <v>0</v>
      </c>
      <c r="N95" s="340" t="e">
        <f t="shared" si="25"/>
        <v>#DIV/0!</v>
      </c>
    </row>
    <row r="96" spans="1:14" ht="15" hidden="1">
      <c r="A96" s="114" t="s">
        <v>1</v>
      </c>
      <c r="B96" s="118"/>
      <c r="C96" s="115">
        <f t="shared" si="26"/>
        <v>0</v>
      </c>
      <c r="D96" s="115"/>
      <c r="E96" s="115"/>
      <c r="F96" s="115"/>
      <c r="G96" s="116"/>
      <c r="H96" s="119"/>
      <c r="I96" s="120"/>
      <c r="J96" s="115"/>
      <c r="K96" s="115"/>
      <c r="L96" s="115"/>
      <c r="M96" s="115">
        <f t="shared" si="24"/>
        <v>0</v>
      </c>
      <c r="N96" s="340" t="e">
        <f t="shared" si="25"/>
        <v>#DIV/0!</v>
      </c>
    </row>
    <row r="97" spans="1:14" ht="15" hidden="1">
      <c r="A97" s="114" t="s">
        <v>139</v>
      </c>
      <c r="B97" s="118"/>
      <c r="C97" s="115">
        <f t="shared" si="26"/>
        <v>0</v>
      </c>
      <c r="D97" s="115"/>
      <c r="E97" s="115"/>
      <c r="F97" s="115"/>
      <c r="G97" s="116"/>
      <c r="H97" s="119"/>
      <c r="I97" s="120"/>
      <c r="J97" s="115"/>
      <c r="K97" s="115"/>
      <c r="L97" s="115"/>
      <c r="M97" s="115">
        <f t="shared" si="24"/>
        <v>0</v>
      </c>
      <c r="N97" s="340" t="e">
        <f t="shared" si="25"/>
        <v>#DIV/0!</v>
      </c>
    </row>
    <row r="98" spans="1:14" ht="15" hidden="1">
      <c r="A98" s="114" t="s">
        <v>2</v>
      </c>
      <c r="B98" s="118"/>
      <c r="C98" s="115">
        <f t="shared" si="26"/>
        <v>0</v>
      </c>
      <c r="D98" s="115"/>
      <c r="E98" s="115"/>
      <c r="F98" s="115"/>
      <c r="G98" s="116"/>
      <c r="H98" s="119"/>
      <c r="I98" s="120"/>
      <c r="J98" s="115"/>
      <c r="K98" s="115"/>
      <c r="L98" s="115"/>
      <c r="M98" s="115">
        <f t="shared" si="24"/>
        <v>0</v>
      </c>
      <c r="N98" s="340" t="e">
        <f t="shared" si="25"/>
        <v>#DIV/0!</v>
      </c>
    </row>
    <row r="99" spans="1:14" ht="15" hidden="1">
      <c r="A99" s="114" t="s">
        <v>3</v>
      </c>
      <c r="B99" s="118"/>
      <c r="C99" s="115">
        <f t="shared" si="26"/>
        <v>0</v>
      </c>
      <c r="D99" s="115"/>
      <c r="E99" s="115"/>
      <c r="F99" s="115"/>
      <c r="G99" s="116"/>
      <c r="H99" s="119"/>
      <c r="I99" s="120"/>
      <c r="J99" s="115"/>
      <c r="K99" s="115"/>
      <c r="L99" s="115"/>
      <c r="M99" s="115">
        <f t="shared" si="24"/>
        <v>0</v>
      </c>
      <c r="N99" s="340" t="e">
        <f t="shared" si="25"/>
        <v>#DIV/0!</v>
      </c>
    </row>
    <row r="100" spans="1:14" ht="25.5">
      <c r="A100" s="447" t="s">
        <v>290</v>
      </c>
      <c r="B100" s="358" t="s">
        <v>25</v>
      </c>
      <c r="C100" s="146">
        <v>6000</v>
      </c>
      <c r="D100" s="146">
        <v>6000</v>
      </c>
      <c r="E100" s="146"/>
      <c r="F100" s="146"/>
      <c r="G100" s="146"/>
      <c r="H100" s="146"/>
      <c r="I100" s="146"/>
      <c r="J100" s="146">
        <v>136</v>
      </c>
      <c r="K100" s="146">
        <v>136</v>
      </c>
      <c r="L100" s="146">
        <v>136</v>
      </c>
      <c r="M100" s="146">
        <f t="shared" si="24"/>
        <v>0</v>
      </c>
      <c r="N100" s="368">
        <f>L100/C100</f>
        <v>0.02266666666666667</v>
      </c>
    </row>
    <row r="101" spans="1:14" ht="15" hidden="1">
      <c r="A101" s="114" t="s">
        <v>5</v>
      </c>
      <c r="B101" s="118"/>
      <c r="C101" s="115">
        <f t="shared" si="26"/>
        <v>0</v>
      </c>
      <c r="D101" s="115"/>
      <c r="E101" s="115"/>
      <c r="F101" s="115"/>
      <c r="G101" s="116"/>
      <c r="H101" s="119"/>
      <c r="I101" s="120"/>
      <c r="J101" s="115"/>
      <c r="K101" s="115"/>
      <c r="L101" s="115"/>
      <c r="M101" s="115">
        <f t="shared" si="24"/>
        <v>0</v>
      </c>
      <c r="N101" s="332"/>
    </row>
    <row r="102" spans="1:14" ht="15" hidden="1">
      <c r="A102" s="114" t="s">
        <v>6</v>
      </c>
      <c r="B102" s="118"/>
      <c r="C102" s="115">
        <f t="shared" si="26"/>
        <v>0</v>
      </c>
      <c r="D102" s="115"/>
      <c r="E102" s="115"/>
      <c r="F102" s="115"/>
      <c r="G102" s="116"/>
      <c r="H102" s="119"/>
      <c r="I102" s="120"/>
      <c r="J102" s="115"/>
      <c r="K102" s="115"/>
      <c r="L102" s="115"/>
      <c r="M102" s="115">
        <f t="shared" si="24"/>
        <v>0</v>
      </c>
      <c r="N102" s="332"/>
    </row>
    <row r="103" spans="1:14" ht="15">
      <c r="A103" s="121" t="s">
        <v>7</v>
      </c>
      <c r="B103" s="118"/>
      <c r="C103" s="115"/>
      <c r="D103" s="115"/>
      <c r="E103" s="115"/>
      <c r="F103" s="115"/>
      <c r="G103" s="116"/>
      <c r="H103" s="119"/>
      <c r="I103" s="120"/>
      <c r="J103" s="115"/>
      <c r="K103" s="115"/>
      <c r="L103" s="115"/>
      <c r="M103" s="115"/>
      <c r="N103" s="332"/>
    </row>
    <row r="104" spans="1:14" ht="15">
      <c r="A104" s="123" t="s">
        <v>8</v>
      </c>
      <c r="B104" s="118"/>
      <c r="C104" s="115"/>
      <c r="D104" s="115"/>
      <c r="E104" s="115"/>
      <c r="F104" s="115"/>
      <c r="G104" s="116"/>
      <c r="H104" s="119" t="s">
        <v>100</v>
      </c>
      <c r="I104" s="124">
        <f>C88+C91</f>
        <v>4604000</v>
      </c>
      <c r="J104" s="115"/>
      <c r="K104" s="115"/>
      <c r="L104" s="115"/>
      <c r="M104" s="115"/>
      <c r="N104" s="332"/>
    </row>
    <row r="105" spans="1:14" ht="14.25">
      <c r="A105" s="5" t="s">
        <v>241</v>
      </c>
      <c r="B105" s="359" t="s">
        <v>235</v>
      </c>
      <c r="C105" s="127">
        <f>C93+C90</f>
        <v>0</v>
      </c>
      <c r="D105" s="127">
        <f aca="true" t="shared" si="27" ref="D105:M105">D93+D90</f>
        <v>0</v>
      </c>
      <c r="E105" s="127">
        <f t="shared" si="27"/>
        <v>0</v>
      </c>
      <c r="F105" s="127">
        <f t="shared" si="27"/>
        <v>0</v>
      </c>
      <c r="G105" s="127">
        <f t="shared" si="27"/>
        <v>0</v>
      </c>
      <c r="H105" s="127">
        <f t="shared" si="27"/>
        <v>0</v>
      </c>
      <c r="I105" s="127">
        <f t="shared" si="27"/>
        <v>0</v>
      </c>
      <c r="J105" s="127">
        <f t="shared" si="27"/>
        <v>0</v>
      </c>
      <c r="K105" s="127">
        <f t="shared" si="27"/>
        <v>0</v>
      </c>
      <c r="L105" s="127">
        <f t="shared" si="27"/>
        <v>0</v>
      </c>
      <c r="M105" s="127">
        <f t="shared" si="27"/>
        <v>0</v>
      </c>
      <c r="N105" s="369"/>
    </row>
    <row r="106" spans="1:14" ht="14.25">
      <c r="A106" s="125" t="s">
        <v>24</v>
      </c>
      <c r="B106" s="126" t="s">
        <v>25</v>
      </c>
      <c r="C106" s="127">
        <f>C100+C92+C89</f>
        <v>4610000</v>
      </c>
      <c r="D106" s="127">
        <f aca="true" t="shared" si="28" ref="D106:N106">D100+D92+D89</f>
        <v>3806000</v>
      </c>
      <c r="E106" s="127">
        <f t="shared" si="28"/>
        <v>0</v>
      </c>
      <c r="F106" s="127">
        <f t="shared" si="28"/>
        <v>0</v>
      </c>
      <c r="G106" s="127">
        <f t="shared" si="28"/>
        <v>0</v>
      </c>
      <c r="H106" s="127">
        <f t="shared" si="28"/>
        <v>0</v>
      </c>
      <c r="I106" s="127">
        <f t="shared" si="28"/>
        <v>0</v>
      </c>
      <c r="J106" s="127">
        <f t="shared" si="28"/>
        <v>3691511</v>
      </c>
      <c r="K106" s="127">
        <f t="shared" si="28"/>
        <v>3691511</v>
      </c>
      <c r="L106" s="127">
        <f t="shared" si="28"/>
        <v>3355974</v>
      </c>
      <c r="M106" s="127">
        <f t="shared" si="28"/>
        <v>335537</v>
      </c>
      <c r="N106" s="369">
        <f t="shared" si="28"/>
        <v>1.1616137482419129</v>
      </c>
    </row>
    <row r="107" spans="1:14" ht="15.75" thickBot="1">
      <c r="A107" s="289" t="s">
        <v>7</v>
      </c>
      <c r="B107" s="176"/>
      <c r="C107" s="164"/>
      <c r="D107" s="164"/>
      <c r="E107" s="164"/>
      <c r="F107" s="164"/>
      <c r="G107" s="164"/>
      <c r="H107" s="290"/>
      <c r="I107" s="179"/>
      <c r="J107" s="164">
        <f>J103</f>
        <v>0</v>
      </c>
      <c r="K107" s="164">
        <f>K103</f>
        <v>0</v>
      </c>
      <c r="L107" s="164">
        <f>L103</f>
        <v>0</v>
      </c>
      <c r="M107" s="164"/>
      <c r="N107" s="334"/>
    </row>
    <row r="108" spans="1:14" ht="24.75" customHeight="1" thickBot="1">
      <c r="A108" s="285" t="s">
        <v>29</v>
      </c>
      <c r="B108" s="286" t="s">
        <v>152</v>
      </c>
      <c r="C108" s="287">
        <f>C109+C114+C125+C134</f>
        <v>40269308</v>
      </c>
      <c r="D108" s="287">
        <f aca="true" t="shared" si="29" ref="D108:M108">D109+D114+D125+D134</f>
        <v>37479308</v>
      </c>
      <c r="E108" s="287">
        <f t="shared" si="29"/>
        <v>300000</v>
      </c>
      <c r="F108" s="287">
        <f t="shared" si="29"/>
        <v>300000</v>
      </c>
      <c r="G108" s="287">
        <f t="shared" si="29"/>
        <v>300000</v>
      </c>
      <c r="H108" s="287">
        <f t="shared" si="29"/>
        <v>300000</v>
      </c>
      <c r="I108" s="287">
        <f t="shared" si="29"/>
        <v>300000</v>
      </c>
      <c r="J108" s="287">
        <f>J109+J114+J125+J134+J139</f>
        <v>40067662</v>
      </c>
      <c r="K108" s="287">
        <f>K109+K114+K125+K134+K139</f>
        <v>40067662</v>
      </c>
      <c r="L108" s="287">
        <f>L109+L114+L125+L134+L139</f>
        <v>35509514</v>
      </c>
      <c r="M108" s="287">
        <f t="shared" si="29"/>
        <v>4558148</v>
      </c>
      <c r="N108" s="288">
        <f>L108/C108</f>
        <v>0.8818009487523352</v>
      </c>
    </row>
    <row r="109" spans="1:14" ht="15" hidden="1">
      <c r="A109" s="297" t="s">
        <v>140</v>
      </c>
      <c r="B109" s="300"/>
      <c r="C109" s="299">
        <f>C110+C111+C112+C113</f>
        <v>0</v>
      </c>
      <c r="D109" s="299">
        <f aca="true" t="shared" si="30" ref="D109:M109">D110+D111+D112+D113</f>
        <v>0</v>
      </c>
      <c r="E109" s="299">
        <f t="shared" si="30"/>
        <v>0</v>
      </c>
      <c r="F109" s="299">
        <f t="shared" si="30"/>
        <v>0</v>
      </c>
      <c r="G109" s="299">
        <f t="shared" si="30"/>
        <v>0</v>
      </c>
      <c r="H109" s="299">
        <f t="shared" si="30"/>
        <v>0</v>
      </c>
      <c r="I109" s="299">
        <f t="shared" si="30"/>
        <v>0</v>
      </c>
      <c r="J109" s="299">
        <f t="shared" si="30"/>
        <v>0</v>
      </c>
      <c r="K109" s="299">
        <f t="shared" si="30"/>
        <v>0</v>
      </c>
      <c r="L109" s="299">
        <f t="shared" si="30"/>
        <v>0</v>
      </c>
      <c r="M109" s="299">
        <f t="shared" si="30"/>
        <v>0</v>
      </c>
      <c r="N109" s="339" t="e">
        <f>L109/C109</f>
        <v>#DIV/0!</v>
      </c>
    </row>
    <row r="110" spans="1:14" ht="15" hidden="1">
      <c r="A110" s="147" t="s">
        <v>190</v>
      </c>
      <c r="B110" s="137" t="s">
        <v>31</v>
      </c>
      <c r="C110" s="115"/>
      <c r="D110" s="115"/>
      <c r="E110" s="115"/>
      <c r="F110" s="115"/>
      <c r="G110" s="148"/>
      <c r="H110" s="330"/>
      <c r="I110" s="330"/>
      <c r="J110" s="117"/>
      <c r="K110" s="117"/>
      <c r="L110" s="117"/>
      <c r="M110" s="115">
        <f>J110-L110</f>
        <v>0</v>
      </c>
      <c r="N110" s="332"/>
    </row>
    <row r="111" spans="1:14" ht="15" hidden="1">
      <c r="A111" s="147" t="s">
        <v>191</v>
      </c>
      <c r="B111" s="137" t="s">
        <v>32</v>
      </c>
      <c r="C111" s="115"/>
      <c r="D111" s="115"/>
      <c r="E111" s="115"/>
      <c r="F111" s="115"/>
      <c r="G111" s="148"/>
      <c r="H111" s="330"/>
      <c r="I111" s="330"/>
      <c r="J111" s="115"/>
      <c r="K111" s="115"/>
      <c r="L111" s="115"/>
      <c r="M111" s="115">
        <f>J111-L111</f>
        <v>0</v>
      </c>
      <c r="N111" s="332" t="e">
        <f>L111/C111</f>
        <v>#DIV/0!</v>
      </c>
    </row>
    <row r="112" spans="1:14" ht="15" hidden="1">
      <c r="A112" s="147" t="s">
        <v>192</v>
      </c>
      <c r="B112" s="137" t="s">
        <v>33</v>
      </c>
      <c r="C112" s="115"/>
      <c r="D112" s="115"/>
      <c r="E112" s="115"/>
      <c r="F112" s="115"/>
      <c r="G112" s="148"/>
      <c r="H112" s="330"/>
      <c r="I112" s="330"/>
      <c r="J112" s="115"/>
      <c r="K112" s="115"/>
      <c r="L112" s="115"/>
      <c r="M112" s="115">
        <f>J112-L112</f>
        <v>0</v>
      </c>
      <c r="N112" s="332"/>
    </row>
    <row r="113" spans="1:14" ht="15" hidden="1">
      <c r="A113" s="232" t="s">
        <v>225</v>
      </c>
      <c r="B113" s="137" t="s">
        <v>33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>
        <f>J113-L113</f>
        <v>0</v>
      </c>
      <c r="N113" s="332"/>
    </row>
    <row r="114" spans="1:14" ht="15">
      <c r="A114" s="353" t="s">
        <v>155</v>
      </c>
      <c r="B114" s="149"/>
      <c r="C114" s="145">
        <f>C115+C116+C117+C118+C119+C120+C121</f>
        <v>9600000</v>
      </c>
      <c r="D114" s="145">
        <f aca="true" t="shared" si="31" ref="D114:M114">D115+D116+D117+D118+D119+D120+D121</f>
        <v>8400000</v>
      </c>
      <c r="E114" s="145">
        <f t="shared" si="31"/>
        <v>0</v>
      </c>
      <c r="F114" s="145">
        <f t="shared" si="31"/>
        <v>0</v>
      </c>
      <c r="G114" s="145">
        <f t="shared" si="31"/>
        <v>0</v>
      </c>
      <c r="H114" s="145">
        <f t="shared" si="31"/>
        <v>0</v>
      </c>
      <c r="I114" s="145">
        <f t="shared" si="31"/>
        <v>0</v>
      </c>
      <c r="J114" s="145">
        <f t="shared" si="31"/>
        <v>9414209</v>
      </c>
      <c r="K114" s="145">
        <f t="shared" si="31"/>
        <v>9414209</v>
      </c>
      <c r="L114" s="145">
        <f t="shared" si="31"/>
        <v>6474061</v>
      </c>
      <c r="M114" s="145">
        <f t="shared" si="31"/>
        <v>2940148</v>
      </c>
      <c r="N114" s="342">
        <f>L114/C114</f>
        <v>0.6743813541666667</v>
      </c>
    </row>
    <row r="115" spans="1:14" ht="15" hidden="1">
      <c r="A115" s="147" t="s">
        <v>190</v>
      </c>
      <c r="B115" s="150" t="s">
        <v>31</v>
      </c>
      <c r="C115" s="117"/>
      <c r="D115" s="117"/>
      <c r="E115" s="117"/>
      <c r="F115" s="117"/>
      <c r="G115" s="151"/>
      <c r="H115" s="152"/>
      <c r="I115" s="152"/>
      <c r="J115" s="117"/>
      <c r="K115" s="117"/>
      <c r="L115" s="117"/>
      <c r="M115" s="117">
        <f>J115-L115</f>
        <v>0</v>
      </c>
      <c r="N115" s="341"/>
    </row>
    <row r="116" spans="1:14" ht="15" hidden="1">
      <c r="A116" s="147" t="s">
        <v>191</v>
      </c>
      <c r="B116" s="150" t="s">
        <v>32</v>
      </c>
      <c r="C116" s="117"/>
      <c r="D116" s="117"/>
      <c r="E116" s="117"/>
      <c r="F116" s="117"/>
      <c r="G116" s="151"/>
      <c r="H116" s="152"/>
      <c r="I116" s="152"/>
      <c r="J116" s="117"/>
      <c r="K116" s="117"/>
      <c r="L116" s="117"/>
      <c r="M116" s="117">
        <f>J116-L116</f>
        <v>0</v>
      </c>
      <c r="N116" s="341" t="e">
        <f>L116/C116</f>
        <v>#DIV/0!</v>
      </c>
    </row>
    <row r="117" spans="1:14" ht="15" hidden="1">
      <c r="A117" s="147" t="s">
        <v>192</v>
      </c>
      <c r="B117" s="150" t="s">
        <v>33</v>
      </c>
      <c r="C117" s="117"/>
      <c r="D117" s="117"/>
      <c r="E117" s="117"/>
      <c r="F117" s="117"/>
      <c r="G117" s="151"/>
      <c r="H117" s="152"/>
      <c r="I117" s="152"/>
      <c r="J117" s="117"/>
      <c r="K117" s="117"/>
      <c r="L117" s="117"/>
      <c r="M117" s="117">
        <f>J117-L117</f>
        <v>0</v>
      </c>
      <c r="N117" s="341"/>
    </row>
    <row r="118" spans="1:14" ht="15" hidden="1">
      <c r="A118" s="232" t="s">
        <v>224</v>
      </c>
      <c r="B118" s="150" t="s">
        <v>33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>
        <f>J118-L118</f>
        <v>0</v>
      </c>
      <c r="N118" s="341"/>
    </row>
    <row r="119" spans="1:14" ht="15">
      <c r="A119" s="147" t="s">
        <v>30</v>
      </c>
      <c r="B119" s="150" t="s">
        <v>55</v>
      </c>
      <c r="C119" s="117">
        <v>9500000</v>
      </c>
      <c r="D119" s="117">
        <v>8300000</v>
      </c>
      <c r="E119" s="117"/>
      <c r="F119" s="117"/>
      <c r="G119" s="153"/>
      <c r="H119" s="330"/>
      <c r="I119" s="330"/>
      <c r="J119" s="117">
        <v>9378334</v>
      </c>
      <c r="K119" s="117">
        <v>9378334</v>
      </c>
      <c r="L119" s="117">
        <v>6438186</v>
      </c>
      <c r="M119" s="117">
        <f aca="true" t="shared" si="32" ref="M119:M139">J119-L119</f>
        <v>2940148</v>
      </c>
      <c r="N119" s="341">
        <f>L119/C119</f>
        <v>0.6777037894736843</v>
      </c>
    </row>
    <row r="120" spans="1:14" ht="15">
      <c r="A120" s="147" t="s">
        <v>212</v>
      </c>
      <c r="B120" s="150" t="s">
        <v>49</v>
      </c>
      <c r="C120" s="117">
        <v>100000</v>
      </c>
      <c r="D120" s="117">
        <v>100000</v>
      </c>
      <c r="E120" s="117"/>
      <c r="F120" s="117"/>
      <c r="G120" s="153"/>
      <c r="H120" s="330"/>
      <c r="I120" s="330"/>
      <c r="J120" s="117">
        <v>35875</v>
      </c>
      <c r="K120" s="117">
        <v>35875</v>
      </c>
      <c r="L120" s="117">
        <v>35875</v>
      </c>
      <c r="M120" s="117">
        <f t="shared" si="32"/>
        <v>0</v>
      </c>
      <c r="N120" s="341">
        <f>L120/C120</f>
        <v>0.35875</v>
      </c>
    </row>
    <row r="121" spans="1:14" ht="15" hidden="1">
      <c r="A121" s="147" t="s">
        <v>213</v>
      </c>
      <c r="B121" s="150" t="s">
        <v>32</v>
      </c>
      <c r="C121" s="117">
        <v>0</v>
      </c>
      <c r="D121" s="117">
        <v>0</v>
      </c>
      <c r="E121" s="117"/>
      <c r="F121" s="117"/>
      <c r="G121" s="153"/>
      <c r="H121" s="330"/>
      <c r="I121" s="330"/>
      <c r="J121" s="117">
        <v>0</v>
      </c>
      <c r="K121" s="117">
        <v>0</v>
      </c>
      <c r="L121" s="117">
        <v>0</v>
      </c>
      <c r="M121" s="117">
        <f t="shared" si="32"/>
        <v>0</v>
      </c>
      <c r="N121" s="341"/>
    </row>
    <row r="122" spans="1:14" ht="15" hidden="1">
      <c r="A122" s="154" t="s">
        <v>0</v>
      </c>
      <c r="B122" s="155"/>
      <c r="C122" s="117">
        <f>D122+E122+F122+G122</f>
        <v>0</v>
      </c>
      <c r="D122" s="117"/>
      <c r="E122" s="117"/>
      <c r="F122" s="117"/>
      <c r="G122" s="153"/>
      <c r="H122" s="330"/>
      <c r="I122" s="330"/>
      <c r="J122" s="117"/>
      <c r="K122" s="117"/>
      <c r="L122" s="117"/>
      <c r="M122" s="117">
        <f t="shared" si="32"/>
        <v>0</v>
      </c>
      <c r="N122" s="341"/>
    </row>
    <row r="123" spans="1:14" ht="15" hidden="1">
      <c r="A123" s="154" t="s">
        <v>1</v>
      </c>
      <c r="B123" s="155"/>
      <c r="C123" s="117">
        <f>D123+E123+F123+G123</f>
        <v>0</v>
      </c>
      <c r="D123" s="117"/>
      <c r="E123" s="117"/>
      <c r="F123" s="117"/>
      <c r="G123" s="153"/>
      <c r="H123" s="330"/>
      <c r="I123" s="330"/>
      <c r="J123" s="117"/>
      <c r="K123" s="117"/>
      <c r="L123" s="117"/>
      <c r="M123" s="117">
        <f t="shared" si="32"/>
        <v>0</v>
      </c>
      <c r="N123" s="341"/>
    </row>
    <row r="124" spans="1:14" ht="15" hidden="1">
      <c r="A124" s="147" t="s">
        <v>166</v>
      </c>
      <c r="B124" s="155" t="s">
        <v>57</v>
      </c>
      <c r="C124" s="117"/>
      <c r="D124" s="117"/>
      <c r="E124" s="117"/>
      <c r="F124" s="117"/>
      <c r="G124" s="151"/>
      <c r="H124" s="330"/>
      <c r="I124" s="330"/>
      <c r="J124" s="117"/>
      <c r="K124" s="117"/>
      <c r="L124" s="117"/>
      <c r="M124" s="117">
        <f t="shared" si="32"/>
        <v>0</v>
      </c>
      <c r="N124" s="341"/>
    </row>
    <row r="125" spans="1:14" ht="15">
      <c r="A125" s="445" t="s">
        <v>291</v>
      </c>
      <c r="B125" s="144"/>
      <c r="C125" s="145">
        <f>C127+C128+C126</f>
        <v>30489308</v>
      </c>
      <c r="D125" s="145">
        <f aca="true" t="shared" si="33" ref="D125:M125">D127+D128+D126</f>
        <v>28899308</v>
      </c>
      <c r="E125" s="145">
        <f t="shared" si="33"/>
        <v>0</v>
      </c>
      <c r="F125" s="145">
        <f t="shared" si="33"/>
        <v>0</v>
      </c>
      <c r="G125" s="145">
        <f t="shared" si="33"/>
        <v>0</v>
      </c>
      <c r="H125" s="145">
        <f t="shared" si="33"/>
        <v>0</v>
      </c>
      <c r="I125" s="145">
        <f t="shared" si="33"/>
        <v>0</v>
      </c>
      <c r="J125" s="145">
        <f t="shared" si="33"/>
        <v>30489308</v>
      </c>
      <c r="K125" s="145">
        <f t="shared" si="33"/>
        <v>30489308</v>
      </c>
      <c r="L125" s="145">
        <f t="shared" si="33"/>
        <v>28899308</v>
      </c>
      <c r="M125" s="145">
        <f t="shared" si="33"/>
        <v>1590000</v>
      </c>
      <c r="N125" s="367">
        <f>L125/C125</f>
        <v>0.9478505710920038</v>
      </c>
    </row>
    <row r="126" spans="1:14" ht="15">
      <c r="A126" s="232" t="s">
        <v>191</v>
      </c>
      <c r="B126" s="230" t="s">
        <v>32</v>
      </c>
      <c r="C126" s="117">
        <v>6800000</v>
      </c>
      <c r="D126" s="117">
        <v>5800000</v>
      </c>
      <c r="E126" s="117"/>
      <c r="F126" s="117"/>
      <c r="G126" s="151"/>
      <c r="H126" s="152"/>
      <c r="I126" s="152"/>
      <c r="J126" s="117">
        <v>6800000</v>
      </c>
      <c r="K126" s="117">
        <v>6800000</v>
      </c>
      <c r="L126" s="117">
        <v>5800000</v>
      </c>
      <c r="M126" s="117">
        <f t="shared" si="32"/>
        <v>1000000</v>
      </c>
      <c r="N126" s="341">
        <f>L126:L127/C126</f>
        <v>0.8529411764705882</v>
      </c>
    </row>
    <row r="127" spans="1:14" ht="15">
      <c r="A127" s="147" t="s">
        <v>192</v>
      </c>
      <c r="B127" s="150" t="s">
        <v>33</v>
      </c>
      <c r="C127" s="117">
        <v>17939308</v>
      </c>
      <c r="D127" s="117">
        <v>17939308</v>
      </c>
      <c r="E127" s="117"/>
      <c r="F127" s="117"/>
      <c r="G127" s="151"/>
      <c r="H127" s="152"/>
      <c r="I127" s="152"/>
      <c r="J127" s="117">
        <v>17939308</v>
      </c>
      <c r="K127" s="117">
        <v>17939308</v>
      </c>
      <c r="L127" s="117">
        <v>17939308</v>
      </c>
      <c r="M127" s="117">
        <f t="shared" si="32"/>
        <v>0</v>
      </c>
      <c r="N127" s="341">
        <f>L127/C127</f>
        <v>1</v>
      </c>
    </row>
    <row r="128" spans="1:14" ht="15">
      <c r="A128" s="147" t="s">
        <v>190</v>
      </c>
      <c r="B128" s="150" t="s">
        <v>31</v>
      </c>
      <c r="C128" s="117">
        <v>5750000</v>
      </c>
      <c r="D128" s="117">
        <v>5160000</v>
      </c>
      <c r="E128" s="117"/>
      <c r="F128" s="117"/>
      <c r="G128" s="153"/>
      <c r="H128" s="330"/>
      <c r="I128" s="330"/>
      <c r="J128" s="117">
        <v>5750000</v>
      </c>
      <c r="K128" s="117">
        <v>5750000</v>
      </c>
      <c r="L128" s="117">
        <v>5160000</v>
      </c>
      <c r="M128" s="117">
        <f t="shared" si="32"/>
        <v>590000</v>
      </c>
      <c r="N128" s="341">
        <f>L128/C128</f>
        <v>0.8973913043478261</v>
      </c>
    </row>
    <row r="129" spans="1:14" ht="15" hidden="1">
      <c r="A129" s="147"/>
      <c r="B129" s="155"/>
      <c r="C129" s="117"/>
      <c r="D129" s="117"/>
      <c r="E129" s="117"/>
      <c r="F129" s="117"/>
      <c r="G129" s="153"/>
      <c r="H129" s="330"/>
      <c r="I129" s="330"/>
      <c r="J129" s="117"/>
      <c r="K129" s="117"/>
      <c r="L129" s="117"/>
      <c r="M129" s="117">
        <f t="shared" si="32"/>
        <v>0</v>
      </c>
      <c r="N129" s="341"/>
    </row>
    <row r="130" spans="1:14" ht="15" hidden="1">
      <c r="A130" s="147"/>
      <c r="B130" s="155"/>
      <c r="C130" s="117"/>
      <c r="D130" s="117"/>
      <c r="E130" s="117"/>
      <c r="F130" s="117"/>
      <c r="G130" s="153"/>
      <c r="H130" s="330"/>
      <c r="I130" s="330"/>
      <c r="J130" s="117"/>
      <c r="K130" s="117"/>
      <c r="L130" s="117"/>
      <c r="M130" s="117">
        <f t="shared" si="32"/>
        <v>0</v>
      </c>
      <c r="N130" s="341"/>
    </row>
    <row r="131" spans="1:14" ht="15" hidden="1">
      <c r="A131" s="147"/>
      <c r="B131" s="155"/>
      <c r="C131" s="117"/>
      <c r="D131" s="117"/>
      <c r="E131" s="117"/>
      <c r="F131" s="117"/>
      <c r="G131" s="153"/>
      <c r="H131" s="330"/>
      <c r="I131" s="330"/>
      <c r="J131" s="117"/>
      <c r="K131" s="117"/>
      <c r="L131" s="117"/>
      <c r="M131" s="117">
        <f t="shared" si="32"/>
        <v>0</v>
      </c>
      <c r="N131" s="341"/>
    </row>
    <row r="132" spans="1:14" ht="15" hidden="1">
      <c r="A132" s="147"/>
      <c r="B132" s="155"/>
      <c r="C132" s="117"/>
      <c r="D132" s="117"/>
      <c r="E132" s="117"/>
      <c r="F132" s="117"/>
      <c r="G132" s="153"/>
      <c r="H132" s="330"/>
      <c r="I132" s="330"/>
      <c r="J132" s="117"/>
      <c r="K132" s="117"/>
      <c r="L132" s="117"/>
      <c r="M132" s="117">
        <f t="shared" si="32"/>
        <v>0</v>
      </c>
      <c r="N132" s="341"/>
    </row>
    <row r="133" spans="1:14" ht="15" hidden="1">
      <c r="A133" s="154" t="s">
        <v>3</v>
      </c>
      <c r="B133" s="155"/>
      <c r="C133" s="117">
        <f>D133+E133+F133+G133</f>
        <v>0</v>
      </c>
      <c r="D133" s="117"/>
      <c r="E133" s="117"/>
      <c r="F133" s="117"/>
      <c r="G133" s="153"/>
      <c r="H133" s="330"/>
      <c r="I133" s="330"/>
      <c r="J133" s="117"/>
      <c r="K133" s="117">
        <f>J133</f>
        <v>0</v>
      </c>
      <c r="L133" s="117"/>
      <c r="M133" s="117">
        <f t="shared" si="32"/>
        <v>0</v>
      </c>
      <c r="N133" s="341"/>
    </row>
    <row r="134" spans="1:14" ht="15">
      <c r="A134" s="156" t="s">
        <v>4</v>
      </c>
      <c r="B134" s="144"/>
      <c r="C134" s="145">
        <f>C135+C136+C137+C138</f>
        <v>180000</v>
      </c>
      <c r="D134" s="145">
        <f aca="true" t="shared" si="34" ref="D134:M134">D135+D136+D137+D138</f>
        <v>180000</v>
      </c>
      <c r="E134" s="145">
        <f t="shared" si="34"/>
        <v>300000</v>
      </c>
      <c r="F134" s="145">
        <f t="shared" si="34"/>
        <v>300000</v>
      </c>
      <c r="G134" s="145">
        <f t="shared" si="34"/>
        <v>300000</v>
      </c>
      <c r="H134" s="145">
        <f t="shared" si="34"/>
        <v>300000</v>
      </c>
      <c r="I134" s="145">
        <f t="shared" si="34"/>
        <v>300000</v>
      </c>
      <c r="J134" s="145">
        <f t="shared" si="34"/>
        <v>180000</v>
      </c>
      <c r="K134" s="145">
        <f t="shared" si="34"/>
        <v>180000</v>
      </c>
      <c r="L134" s="145">
        <f t="shared" si="34"/>
        <v>152000</v>
      </c>
      <c r="M134" s="145">
        <f t="shared" si="34"/>
        <v>28000</v>
      </c>
      <c r="N134" s="342">
        <f>L134/C134</f>
        <v>0.8444444444444444</v>
      </c>
    </row>
    <row r="135" spans="1:14" ht="15">
      <c r="A135" s="157" t="s">
        <v>42</v>
      </c>
      <c r="B135" s="150" t="s">
        <v>49</v>
      </c>
      <c r="C135" s="117">
        <v>180000</v>
      </c>
      <c r="D135" s="117">
        <v>180000</v>
      </c>
      <c r="E135" s="117"/>
      <c r="F135" s="117"/>
      <c r="G135" s="153"/>
      <c r="H135" s="330"/>
      <c r="I135" s="330"/>
      <c r="J135" s="117">
        <v>180000</v>
      </c>
      <c r="K135" s="117">
        <v>180000</v>
      </c>
      <c r="L135" s="117">
        <v>152000</v>
      </c>
      <c r="M135" s="117">
        <f t="shared" si="32"/>
        <v>28000</v>
      </c>
      <c r="N135" s="341">
        <f>L135/C135</f>
        <v>0.8444444444444444</v>
      </c>
    </row>
    <row r="136" spans="1:14" ht="15" hidden="1">
      <c r="A136" s="154"/>
      <c r="B136" s="150" t="s">
        <v>32</v>
      </c>
      <c r="C136" s="117"/>
      <c r="D136" s="117"/>
      <c r="E136" s="117">
        <v>300000</v>
      </c>
      <c r="F136" s="117">
        <v>300000</v>
      </c>
      <c r="G136" s="117">
        <v>300000</v>
      </c>
      <c r="H136" s="117">
        <v>300000</v>
      </c>
      <c r="I136" s="117">
        <v>300000</v>
      </c>
      <c r="J136" s="117"/>
      <c r="K136" s="117"/>
      <c r="L136" s="117"/>
      <c r="M136" s="117">
        <f t="shared" si="32"/>
        <v>0</v>
      </c>
      <c r="N136" s="341"/>
    </row>
    <row r="137" spans="1:14" ht="15" hidden="1">
      <c r="A137" s="114"/>
      <c r="B137" s="137" t="s">
        <v>33</v>
      </c>
      <c r="C137" s="115"/>
      <c r="D137" s="115"/>
      <c r="E137" s="115"/>
      <c r="F137" s="115"/>
      <c r="G137" s="116"/>
      <c r="H137" s="330"/>
      <c r="I137" s="330"/>
      <c r="J137" s="115"/>
      <c r="K137" s="115"/>
      <c r="L137" s="115"/>
      <c r="M137" s="117">
        <f t="shared" si="32"/>
        <v>0</v>
      </c>
      <c r="N137" s="341"/>
    </row>
    <row r="138" spans="1:14" ht="15" hidden="1">
      <c r="A138" s="114"/>
      <c r="B138" s="137" t="s">
        <v>31</v>
      </c>
      <c r="C138" s="115"/>
      <c r="D138" s="115"/>
      <c r="E138" s="115"/>
      <c r="F138" s="115"/>
      <c r="G138" s="116"/>
      <c r="H138" s="330"/>
      <c r="I138" s="330"/>
      <c r="J138" s="115"/>
      <c r="K138" s="115"/>
      <c r="L138" s="115"/>
      <c r="M138" s="117">
        <f t="shared" si="32"/>
        <v>0</v>
      </c>
      <c r="N138" s="341"/>
    </row>
    <row r="139" spans="1:14" ht="15">
      <c r="A139" s="158" t="s">
        <v>7</v>
      </c>
      <c r="B139" s="261" t="s">
        <v>33</v>
      </c>
      <c r="C139" s="141">
        <v>-15855</v>
      </c>
      <c r="D139" s="141">
        <v>-15855</v>
      </c>
      <c r="E139" s="115"/>
      <c r="F139" s="115"/>
      <c r="G139" s="116"/>
      <c r="H139" s="330"/>
      <c r="I139" s="330"/>
      <c r="J139" s="122">
        <f>K139</f>
        <v>-15855</v>
      </c>
      <c r="K139" s="122">
        <v>-15855</v>
      </c>
      <c r="L139" s="122">
        <v>-15855</v>
      </c>
      <c r="M139" s="115">
        <f t="shared" si="32"/>
        <v>0</v>
      </c>
      <c r="N139" s="332"/>
    </row>
    <row r="140" spans="1:14" ht="15">
      <c r="A140" s="123" t="s">
        <v>8</v>
      </c>
      <c r="B140" s="118"/>
      <c r="C140" s="115"/>
      <c r="D140" s="115"/>
      <c r="E140" s="115"/>
      <c r="F140" s="115"/>
      <c r="G140" s="116"/>
      <c r="H140" s="330"/>
      <c r="I140" s="330"/>
      <c r="J140" s="115"/>
      <c r="K140" s="115"/>
      <c r="L140" s="115"/>
      <c r="M140" s="115"/>
      <c r="N140" s="332"/>
    </row>
    <row r="141" spans="1:14" ht="15">
      <c r="A141" s="159" t="s">
        <v>34</v>
      </c>
      <c r="B141" s="160" t="s">
        <v>43</v>
      </c>
      <c r="C141" s="127">
        <f>D141+E141+F141+G141</f>
        <v>0</v>
      </c>
      <c r="D141" s="127"/>
      <c r="E141" s="127"/>
      <c r="F141" s="127"/>
      <c r="G141" s="140"/>
      <c r="H141" s="330"/>
      <c r="I141" s="330"/>
      <c r="J141" s="127"/>
      <c r="K141" s="127"/>
      <c r="L141" s="127"/>
      <c r="M141" s="127">
        <f>J141-L141</f>
        <v>0</v>
      </c>
      <c r="N141" s="333"/>
    </row>
    <row r="142" spans="1:14" ht="15">
      <c r="A142" s="161" t="s">
        <v>35</v>
      </c>
      <c r="B142" s="160" t="s">
        <v>44</v>
      </c>
      <c r="C142" s="127">
        <f aca="true" t="shared" si="35" ref="C142:C153">D142+E142+F142+G142</f>
        <v>0</v>
      </c>
      <c r="D142" s="127"/>
      <c r="E142" s="127"/>
      <c r="F142" s="127"/>
      <c r="G142" s="140"/>
      <c r="H142" s="330"/>
      <c r="I142" s="330"/>
      <c r="J142" s="127"/>
      <c r="K142" s="127"/>
      <c r="L142" s="127"/>
      <c r="M142" s="127">
        <f aca="true" t="shared" si="36" ref="M142:M154">J142-L142</f>
        <v>0</v>
      </c>
      <c r="N142" s="333"/>
    </row>
    <row r="143" spans="1:14" ht="14.25">
      <c r="A143" s="159" t="s">
        <v>36</v>
      </c>
      <c r="B143" s="160" t="s">
        <v>33</v>
      </c>
      <c r="C143" s="127">
        <f>C137+C118+C117+C113+C112+C127</f>
        <v>17939308</v>
      </c>
      <c r="D143" s="127">
        <f aca="true" t="shared" si="37" ref="D143:M143">D137+D118+D117+D113+D112+D127</f>
        <v>17939308</v>
      </c>
      <c r="E143" s="127">
        <f t="shared" si="37"/>
        <v>0</v>
      </c>
      <c r="F143" s="127">
        <f t="shared" si="37"/>
        <v>0</v>
      </c>
      <c r="G143" s="127">
        <f t="shared" si="37"/>
        <v>0</v>
      </c>
      <c r="H143" s="127">
        <f t="shared" si="37"/>
        <v>0</v>
      </c>
      <c r="I143" s="127">
        <f t="shared" si="37"/>
        <v>0</v>
      </c>
      <c r="J143" s="127">
        <f t="shared" si="37"/>
        <v>17939308</v>
      </c>
      <c r="K143" s="127">
        <f t="shared" si="37"/>
        <v>17939308</v>
      </c>
      <c r="L143" s="127">
        <f t="shared" si="37"/>
        <v>17939308</v>
      </c>
      <c r="M143" s="127">
        <f t="shared" si="37"/>
        <v>0</v>
      </c>
      <c r="N143" s="333">
        <f>L143/C143</f>
        <v>1</v>
      </c>
    </row>
    <row r="144" spans="1:14" ht="15">
      <c r="A144" s="161" t="s">
        <v>37</v>
      </c>
      <c r="B144" s="160" t="s">
        <v>45</v>
      </c>
      <c r="C144" s="127">
        <f t="shared" si="35"/>
        <v>0</v>
      </c>
      <c r="D144" s="127"/>
      <c r="E144" s="127"/>
      <c r="F144" s="127"/>
      <c r="G144" s="140"/>
      <c r="H144" s="330"/>
      <c r="I144" s="330"/>
      <c r="J144" s="127"/>
      <c r="K144" s="127"/>
      <c r="L144" s="127"/>
      <c r="M144" s="127">
        <f t="shared" si="36"/>
        <v>0</v>
      </c>
      <c r="N144" s="333"/>
    </row>
    <row r="145" spans="1:14" ht="14.25">
      <c r="A145" s="161" t="s">
        <v>38</v>
      </c>
      <c r="B145" s="160" t="s">
        <v>31</v>
      </c>
      <c r="C145" s="127">
        <f>C138+C128+C115+C110</f>
        <v>5750000</v>
      </c>
      <c r="D145" s="127">
        <f aca="true" t="shared" si="38" ref="D145:M145">D138+D128+D115+D110</f>
        <v>5160000</v>
      </c>
      <c r="E145" s="127">
        <f t="shared" si="38"/>
        <v>0</v>
      </c>
      <c r="F145" s="127">
        <f t="shared" si="38"/>
        <v>0</v>
      </c>
      <c r="G145" s="127">
        <f t="shared" si="38"/>
        <v>0</v>
      </c>
      <c r="H145" s="127">
        <f t="shared" si="38"/>
        <v>0</v>
      </c>
      <c r="I145" s="127">
        <f t="shared" si="38"/>
        <v>0</v>
      </c>
      <c r="J145" s="127">
        <f t="shared" si="38"/>
        <v>5750000</v>
      </c>
      <c r="K145" s="127">
        <f t="shared" si="38"/>
        <v>5750000</v>
      </c>
      <c r="L145" s="127">
        <f t="shared" si="38"/>
        <v>5160000</v>
      </c>
      <c r="M145" s="127">
        <f t="shared" si="38"/>
        <v>590000</v>
      </c>
      <c r="N145" s="333">
        <f aca="true" t="shared" si="39" ref="N145:N152">L145/C145</f>
        <v>0.8973913043478261</v>
      </c>
    </row>
    <row r="146" spans="1:14" ht="15">
      <c r="A146" s="161" t="s">
        <v>39</v>
      </c>
      <c r="B146" s="160" t="s">
        <v>46</v>
      </c>
      <c r="C146" s="127">
        <f t="shared" si="35"/>
        <v>0</v>
      </c>
      <c r="D146" s="127"/>
      <c r="E146" s="127"/>
      <c r="F146" s="127"/>
      <c r="G146" s="140"/>
      <c r="H146" s="330"/>
      <c r="I146" s="330"/>
      <c r="J146" s="127"/>
      <c r="K146" s="127"/>
      <c r="L146" s="127"/>
      <c r="M146" s="127">
        <f t="shared" si="36"/>
        <v>0</v>
      </c>
      <c r="N146" s="333"/>
    </row>
    <row r="147" spans="1:14" ht="15">
      <c r="A147" s="161" t="s">
        <v>40</v>
      </c>
      <c r="B147" s="160" t="s">
        <v>47</v>
      </c>
      <c r="C147" s="127">
        <f t="shared" si="35"/>
        <v>0</v>
      </c>
      <c r="D147" s="127"/>
      <c r="E147" s="127"/>
      <c r="F147" s="127"/>
      <c r="G147" s="140"/>
      <c r="H147" s="330"/>
      <c r="I147" s="330"/>
      <c r="J147" s="127"/>
      <c r="K147" s="127"/>
      <c r="L147" s="127"/>
      <c r="M147" s="127">
        <f t="shared" si="36"/>
        <v>0</v>
      </c>
      <c r="N147" s="333"/>
    </row>
    <row r="148" spans="1:14" ht="15">
      <c r="A148" s="161" t="s">
        <v>41</v>
      </c>
      <c r="B148" s="160" t="s">
        <v>48</v>
      </c>
      <c r="C148" s="127">
        <f t="shared" si="35"/>
        <v>0</v>
      </c>
      <c r="D148" s="127"/>
      <c r="E148" s="127"/>
      <c r="F148" s="127"/>
      <c r="G148" s="140"/>
      <c r="H148" s="330"/>
      <c r="I148" s="330"/>
      <c r="J148" s="127"/>
      <c r="K148" s="127"/>
      <c r="L148" s="127"/>
      <c r="M148" s="127">
        <f t="shared" si="36"/>
        <v>0</v>
      </c>
      <c r="N148" s="333"/>
    </row>
    <row r="149" spans="1:14" ht="14.25">
      <c r="A149" s="159" t="s">
        <v>42</v>
      </c>
      <c r="B149" s="160" t="s">
        <v>49</v>
      </c>
      <c r="C149" s="127">
        <f>C135+C120</f>
        <v>280000</v>
      </c>
      <c r="D149" s="127">
        <f aca="true" t="shared" si="40" ref="D149:M149">D135+D120</f>
        <v>280000</v>
      </c>
      <c r="E149" s="127">
        <f t="shared" si="40"/>
        <v>0</v>
      </c>
      <c r="F149" s="127">
        <f t="shared" si="40"/>
        <v>0</v>
      </c>
      <c r="G149" s="127">
        <f t="shared" si="40"/>
        <v>0</v>
      </c>
      <c r="H149" s="127">
        <f t="shared" si="40"/>
        <v>0</v>
      </c>
      <c r="I149" s="127">
        <f t="shared" si="40"/>
        <v>0</v>
      </c>
      <c r="J149" s="127">
        <f t="shared" si="40"/>
        <v>215875</v>
      </c>
      <c r="K149" s="127">
        <f t="shared" si="40"/>
        <v>215875</v>
      </c>
      <c r="L149" s="127">
        <f t="shared" si="40"/>
        <v>187875</v>
      </c>
      <c r="M149" s="127">
        <f t="shared" si="40"/>
        <v>28000</v>
      </c>
      <c r="N149" s="333">
        <f t="shared" si="39"/>
        <v>0.6709821428571429</v>
      </c>
    </row>
    <row r="150" spans="1:14" ht="14.25">
      <c r="A150" s="159" t="s">
        <v>50</v>
      </c>
      <c r="B150" s="160" t="s">
        <v>32</v>
      </c>
      <c r="C150" s="127">
        <f>C126</f>
        <v>6800000</v>
      </c>
      <c r="D150" s="127">
        <f aca="true" t="shared" si="41" ref="D150:L150">D126</f>
        <v>5800000</v>
      </c>
      <c r="E150" s="127">
        <f t="shared" si="41"/>
        <v>0</v>
      </c>
      <c r="F150" s="127">
        <f t="shared" si="41"/>
        <v>0</v>
      </c>
      <c r="G150" s="127">
        <f t="shared" si="41"/>
        <v>0</v>
      </c>
      <c r="H150" s="127">
        <f t="shared" si="41"/>
        <v>0</v>
      </c>
      <c r="I150" s="127">
        <f t="shared" si="41"/>
        <v>0</v>
      </c>
      <c r="J150" s="127">
        <f t="shared" si="41"/>
        <v>6800000</v>
      </c>
      <c r="K150" s="127">
        <f t="shared" si="41"/>
        <v>6800000</v>
      </c>
      <c r="L150" s="127">
        <f t="shared" si="41"/>
        <v>5800000</v>
      </c>
      <c r="M150" s="127">
        <f>M136+M121+M116+M111</f>
        <v>0</v>
      </c>
      <c r="N150" s="333">
        <f t="shared" si="39"/>
        <v>0.8529411764705882</v>
      </c>
    </row>
    <row r="151" spans="1:14" ht="15">
      <c r="A151" s="159" t="s">
        <v>51</v>
      </c>
      <c r="B151" s="160" t="s">
        <v>54</v>
      </c>
      <c r="C151" s="127">
        <f t="shared" si="35"/>
        <v>0</v>
      </c>
      <c r="D151" s="127"/>
      <c r="E151" s="127"/>
      <c r="F151" s="127"/>
      <c r="G151" s="140"/>
      <c r="H151" s="330"/>
      <c r="I151" s="330"/>
      <c r="J151" s="127"/>
      <c r="K151" s="127"/>
      <c r="L151" s="127"/>
      <c r="M151" s="127">
        <f t="shared" si="36"/>
        <v>0</v>
      </c>
      <c r="N151" s="333"/>
    </row>
    <row r="152" spans="1:14" ht="26.25">
      <c r="A152" s="446" t="s">
        <v>292</v>
      </c>
      <c r="B152" s="160" t="s">
        <v>55</v>
      </c>
      <c r="C152" s="127">
        <f>C119</f>
        <v>9500000</v>
      </c>
      <c r="D152" s="127">
        <f>D119</f>
        <v>8300000</v>
      </c>
      <c r="E152" s="127">
        <f>E119</f>
        <v>0</v>
      </c>
      <c r="F152" s="127">
        <f>F119</f>
        <v>0</v>
      </c>
      <c r="G152" s="140">
        <f>G119</f>
        <v>0</v>
      </c>
      <c r="H152" s="484" t="s">
        <v>106</v>
      </c>
      <c r="I152" s="485"/>
      <c r="J152" s="127">
        <f>J119</f>
        <v>9378334</v>
      </c>
      <c r="K152" s="127">
        <f>K119</f>
        <v>9378334</v>
      </c>
      <c r="L152" s="127">
        <f>L119</f>
        <v>6438186</v>
      </c>
      <c r="M152" s="127">
        <f t="shared" si="36"/>
        <v>2940148</v>
      </c>
      <c r="N152" s="333">
        <f t="shared" si="39"/>
        <v>0.6777037894736843</v>
      </c>
    </row>
    <row r="153" spans="1:14" ht="15">
      <c r="A153" s="159" t="s">
        <v>52</v>
      </c>
      <c r="B153" s="160" t="s">
        <v>56</v>
      </c>
      <c r="C153" s="127">
        <f t="shared" si="35"/>
        <v>0</v>
      </c>
      <c r="D153" s="127"/>
      <c r="E153" s="127"/>
      <c r="F153" s="127"/>
      <c r="G153" s="140"/>
      <c r="H153" s="119" t="s">
        <v>100</v>
      </c>
      <c r="I153" s="124">
        <f>C114+C125+C134</f>
        <v>40269308</v>
      </c>
      <c r="J153" s="127"/>
      <c r="K153" s="127"/>
      <c r="L153" s="127"/>
      <c r="M153" s="127">
        <f t="shared" si="36"/>
        <v>0</v>
      </c>
      <c r="N153" s="333"/>
    </row>
    <row r="154" spans="1:14" ht="14.25">
      <c r="A154" s="162" t="s">
        <v>53</v>
      </c>
      <c r="B154" s="163" t="s">
        <v>57</v>
      </c>
      <c r="C154" s="164">
        <f>C132</f>
        <v>0</v>
      </c>
      <c r="D154" s="164">
        <f aca="true" t="shared" si="42" ref="D154:L154">D132</f>
        <v>0</v>
      </c>
      <c r="E154" s="164">
        <f t="shared" si="42"/>
        <v>0</v>
      </c>
      <c r="F154" s="164">
        <f t="shared" si="42"/>
        <v>0</v>
      </c>
      <c r="G154" s="164">
        <f t="shared" si="42"/>
        <v>0</v>
      </c>
      <c r="H154" s="164">
        <f t="shared" si="42"/>
        <v>0</v>
      </c>
      <c r="I154" s="164">
        <f t="shared" si="42"/>
        <v>0</v>
      </c>
      <c r="J154" s="164">
        <f t="shared" si="42"/>
        <v>0</v>
      </c>
      <c r="K154" s="164">
        <f t="shared" si="42"/>
        <v>0</v>
      </c>
      <c r="L154" s="164">
        <f t="shared" si="42"/>
        <v>0</v>
      </c>
      <c r="M154" s="127">
        <f t="shared" si="36"/>
        <v>0</v>
      </c>
      <c r="N154" s="333"/>
    </row>
    <row r="155" spans="1:14" ht="15" thickBot="1">
      <c r="A155" s="301" t="s">
        <v>7</v>
      </c>
      <c r="B155" s="165" t="s">
        <v>57</v>
      </c>
      <c r="C155" s="166">
        <f aca="true" t="shared" si="43" ref="C155:I155">C139</f>
        <v>-15855</v>
      </c>
      <c r="D155" s="166">
        <f t="shared" si="43"/>
        <v>-15855</v>
      </c>
      <c r="E155" s="166">
        <f t="shared" si="43"/>
        <v>0</v>
      </c>
      <c r="F155" s="166">
        <f t="shared" si="43"/>
        <v>0</v>
      </c>
      <c r="G155" s="166">
        <f t="shared" si="43"/>
        <v>0</v>
      </c>
      <c r="H155" s="166">
        <f t="shared" si="43"/>
        <v>0</v>
      </c>
      <c r="I155" s="166">
        <f t="shared" si="43"/>
        <v>0</v>
      </c>
      <c r="J155" s="166">
        <f>J139</f>
        <v>-15855</v>
      </c>
      <c r="K155" s="166">
        <f>K139</f>
        <v>-15855</v>
      </c>
      <c r="L155" s="166">
        <f>L139</f>
        <v>-15855</v>
      </c>
      <c r="M155" s="164"/>
      <c r="N155" s="334"/>
    </row>
    <row r="156" spans="1:14" ht="24.75" customHeight="1" thickBot="1">
      <c r="A156" s="285" t="s">
        <v>58</v>
      </c>
      <c r="B156" s="286" t="s">
        <v>152</v>
      </c>
      <c r="C156" s="287">
        <f>C157+C161+C167+C170+C175+C182+C183</f>
        <v>51466244</v>
      </c>
      <c r="D156" s="287">
        <f aca="true" t="shared" si="44" ref="D156:K156">D157+D161+D167+D170+D175+D182+D183</f>
        <v>44206244</v>
      </c>
      <c r="E156" s="287">
        <f t="shared" si="44"/>
        <v>0</v>
      </c>
      <c r="F156" s="287">
        <f t="shared" si="44"/>
        <v>0</v>
      </c>
      <c r="G156" s="287">
        <f t="shared" si="44"/>
        <v>0</v>
      </c>
      <c r="H156" s="287">
        <f t="shared" si="44"/>
        <v>0</v>
      </c>
      <c r="I156" s="287">
        <f t="shared" si="44"/>
        <v>0</v>
      </c>
      <c r="J156" s="287">
        <f t="shared" si="44"/>
        <v>41990711</v>
      </c>
      <c r="K156" s="287">
        <f t="shared" si="44"/>
        <v>41990711</v>
      </c>
      <c r="L156" s="287">
        <f>L157+L161+L167+L170+L175+L182+L183</f>
        <v>40160622</v>
      </c>
      <c r="M156" s="287">
        <f>M157+M161+M167+M170+M175+M182+M183</f>
        <v>1830089</v>
      </c>
      <c r="N156" s="288">
        <f aca="true" t="shared" si="45" ref="N156:N163">L156/C156</f>
        <v>0.780329374725694</v>
      </c>
    </row>
    <row r="157" spans="1:14" ht="15">
      <c r="A157" s="297" t="s">
        <v>143</v>
      </c>
      <c r="B157" s="300"/>
      <c r="C157" s="299">
        <f>C158+C159+C160</f>
        <v>22000000</v>
      </c>
      <c r="D157" s="299">
        <f aca="true" t="shared" si="46" ref="D157:M157">D158+D159+D160</f>
        <v>18300000</v>
      </c>
      <c r="E157" s="299">
        <f t="shared" si="46"/>
        <v>0</v>
      </c>
      <c r="F157" s="299">
        <f t="shared" si="46"/>
        <v>0</v>
      </c>
      <c r="G157" s="299">
        <f t="shared" si="46"/>
        <v>0</v>
      </c>
      <c r="H157" s="299">
        <f t="shared" si="46"/>
        <v>0</v>
      </c>
      <c r="I157" s="299">
        <f t="shared" si="46"/>
        <v>0</v>
      </c>
      <c r="J157" s="299">
        <f t="shared" si="46"/>
        <v>18300000</v>
      </c>
      <c r="K157" s="299">
        <f t="shared" si="46"/>
        <v>18300000</v>
      </c>
      <c r="L157" s="299">
        <f t="shared" si="46"/>
        <v>16469911</v>
      </c>
      <c r="M157" s="299">
        <f t="shared" si="46"/>
        <v>1830089</v>
      </c>
      <c r="N157" s="339">
        <f t="shared" si="45"/>
        <v>0.7486323181818182</v>
      </c>
    </row>
    <row r="158" spans="1:14" ht="15">
      <c r="A158" s="235" t="s">
        <v>226</v>
      </c>
      <c r="B158" s="167" t="s">
        <v>202</v>
      </c>
      <c r="C158" s="117">
        <v>7000000</v>
      </c>
      <c r="D158" s="115">
        <v>6200000</v>
      </c>
      <c r="E158" s="115"/>
      <c r="F158" s="115"/>
      <c r="G158" s="115"/>
      <c r="H158" s="115"/>
      <c r="I158" s="115"/>
      <c r="J158" s="115">
        <v>6200000</v>
      </c>
      <c r="K158" s="115">
        <v>6200000</v>
      </c>
      <c r="L158" s="115">
        <v>5214521</v>
      </c>
      <c r="M158" s="115">
        <f>J158-L158</f>
        <v>985479</v>
      </c>
      <c r="N158" s="332">
        <f t="shared" si="45"/>
        <v>0.7449315714285715</v>
      </c>
    </row>
    <row r="159" spans="1:14" ht="15" hidden="1">
      <c r="A159" s="139" t="s">
        <v>59</v>
      </c>
      <c r="B159" s="167" t="s">
        <v>64</v>
      </c>
      <c r="C159" s="117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>
        <f>J159-L159</f>
        <v>0</v>
      </c>
      <c r="N159" s="332" t="e">
        <f t="shared" si="45"/>
        <v>#DIV/0!</v>
      </c>
    </row>
    <row r="160" spans="1:14" ht="15">
      <c r="A160" s="139" t="s">
        <v>60</v>
      </c>
      <c r="B160" s="167" t="s">
        <v>165</v>
      </c>
      <c r="C160" s="117">
        <v>15000000</v>
      </c>
      <c r="D160" s="115">
        <f>15000000-2900000</f>
        <v>12100000</v>
      </c>
      <c r="E160" s="115"/>
      <c r="F160" s="115"/>
      <c r="G160" s="115"/>
      <c r="H160" s="115"/>
      <c r="I160" s="115"/>
      <c r="J160" s="115">
        <v>12100000</v>
      </c>
      <c r="K160" s="115">
        <v>12100000</v>
      </c>
      <c r="L160" s="115">
        <v>11255390</v>
      </c>
      <c r="M160" s="115">
        <f>J160-L160</f>
        <v>844610</v>
      </c>
      <c r="N160" s="332">
        <f t="shared" si="45"/>
        <v>0.7503593333333334</v>
      </c>
    </row>
    <row r="161" spans="1:14" ht="15">
      <c r="A161" s="143" t="s">
        <v>144</v>
      </c>
      <c r="B161" s="149"/>
      <c r="C161" s="145">
        <f>C162+C163+C164</f>
        <v>1250000</v>
      </c>
      <c r="D161" s="145">
        <f aca="true" t="shared" si="47" ref="D161:M161">D162+D163+D164</f>
        <v>1250000</v>
      </c>
      <c r="E161" s="145">
        <f t="shared" si="47"/>
        <v>0</v>
      </c>
      <c r="F161" s="145">
        <f t="shared" si="47"/>
        <v>0</v>
      </c>
      <c r="G161" s="145">
        <f t="shared" si="47"/>
        <v>0</v>
      </c>
      <c r="H161" s="145">
        <f t="shared" si="47"/>
        <v>0</v>
      </c>
      <c r="I161" s="145">
        <f t="shared" si="47"/>
        <v>0</v>
      </c>
      <c r="J161" s="145">
        <f>J162+J163+J164</f>
        <v>1042093</v>
      </c>
      <c r="K161" s="145">
        <f>K162+K163+K164</f>
        <v>1042093</v>
      </c>
      <c r="L161" s="145">
        <f t="shared" si="47"/>
        <v>1042093</v>
      </c>
      <c r="M161" s="145">
        <f t="shared" si="47"/>
        <v>0</v>
      </c>
      <c r="N161" s="342">
        <f t="shared" si="45"/>
        <v>0.8336744</v>
      </c>
    </row>
    <row r="162" spans="1:14" ht="15">
      <c r="A162" s="235" t="s">
        <v>226</v>
      </c>
      <c r="B162" s="167" t="s">
        <v>202</v>
      </c>
      <c r="C162" s="115">
        <v>1250000</v>
      </c>
      <c r="D162" s="115">
        <v>1250000</v>
      </c>
      <c r="E162" s="115"/>
      <c r="F162" s="115"/>
      <c r="G162" s="115"/>
      <c r="H162" s="115"/>
      <c r="I162" s="115"/>
      <c r="J162" s="115">
        <v>1042093</v>
      </c>
      <c r="K162" s="115">
        <v>1042093</v>
      </c>
      <c r="L162" s="115">
        <v>1042093</v>
      </c>
      <c r="M162" s="115">
        <f>J162-L162</f>
        <v>0</v>
      </c>
      <c r="N162" s="332">
        <f t="shared" si="45"/>
        <v>0.8336744</v>
      </c>
    </row>
    <row r="163" spans="1:14" ht="15" hidden="1">
      <c r="A163" s="139" t="s">
        <v>59</v>
      </c>
      <c r="B163" s="167" t="s">
        <v>64</v>
      </c>
      <c r="C163" s="115">
        <v>0</v>
      </c>
      <c r="D163" s="115">
        <v>0</v>
      </c>
      <c r="E163" s="115"/>
      <c r="F163" s="115"/>
      <c r="G163" s="116"/>
      <c r="H163" s="330"/>
      <c r="I163" s="330"/>
      <c r="J163" s="115">
        <v>0</v>
      </c>
      <c r="K163" s="115">
        <v>0</v>
      </c>
      <c r="L163" s="115">
        <v>0</v>
      </c>
      <c r="M163" s="115">
        <f>J163-L163</f>
        <v>0</v>
      </c>
      <c r="N163" s="332" t="e">
        <f t="shared" si="45"/>
        <v>#DIV/0!</v>
      </c>
    </row>
    <row r="164" spans="1:14" ht="15" hidden="1">
      <c r="A164" s="139" t="s">
        <v>189</v>
      </c>
      <c r="B164" s="167" t="s">
        <v>63</v>
      </c>
      <c r="C164" s="115"/>
      <c r="D164" s="115"/>
      <c r="E164" s="115"/>
      <c r="F164" s="115"/>
      <c r="G164" s="116"/>
      <c r="H164" s="330"/>
      <c r="I164" s="330"/>
      <c r="J164" s="115"/>
      <c r="K164" s="115"/>
      <c r="L164" s="115"/>
      <c r="M164" s="115">
        <f>J164-L164</f>
        <v>0</v>
      </c>
      <c r="N164" s="332"/>
    </row>
    <row r="165" spans="1:14" ht="15" hidden="1">
      <c r="A165" s="114" t="s">
        <v>0</v>
      </c>
      <c r="B165" s="137"/>
      <c r="C165" s="115"/>
      <c r="D165" s="115"/>
      <c r="E165" s="115"/>
      <c r="F165" s="115"/>
      <c r="G165" s="116"/>
      <c r="H165" s="330"/>
      <c r="I165" s="330"/>
      <c r="J165" s="115"/>
      <c r="K165" s="115"/>
      <c r="L165" s="115"/>
      <c r="M165" s="115"/>
      <c r="N165" s="332"/>
    </row>
    <row r="166" spans="1:14" ht="15" hidden="1">
      <c r="A166" s="114" t="s">
        <v>1</v>
      </c>
      <c r="B166" s="137"/>
      <c r="C166" s="115"/>
      <c r="D166" s="115"/>
      <c r="E166" s="115"/>
      <c r="F166" s="115"/>
      <c r="G166" s="116"/>
      <c r="H166" s="330"/>
      <c r="I166" s="330"/>
      <c r="J166" s="115"/>
      <c r="K166" s="115"/>
      <c r="L166" s="115"/>
      <c r="M166" s="115"/>
      <c r="N166" s="332"/>
    </row>
    <row r="167" spans="1:14" ht="15" hidden="1">
      <c r="A167" s="143" t="s">
        <v>142</v>
      </c>
      <c r="B167" s="149"/>
      <c r="C167" s="145">
        <f>C168</f>
        <v>0</v>
      </c>
      <c r="D167" s="145">
        <f aca="true" t="shared" si="48" ref="D167:M167">D168</f>
        <v>0</v>
      </c>
      <c r="E167" s="145">
        <f t="shared" si="48"/>
        <v>0</v>
      </c>
      <c r="F167" s="145">
        <f t="shared" si="48"/>
        <v>0</v>
      </c>
      <c r="G167" s="145">
        <f t="shared" si="48"/>
        <v>0</v>
      </c>
      <c r="H167" s="145">
        <f t="shared" si="48"/>
        <v>0</v>
      </c>
      <c r="I167" s="145">
        <f t="shared" si="48"/>
        <v>0</v>
      </c>
      <c r="J167" s="145">
        <f t="shared" si="48"/>
        <v>0</v>
      </c>
      <c r="K167" s="145">
        <f t="shared" si="48"/>
        <v>0</v>
      </c>
      <c r="L167" s="145">
        <f t="shared" si="48"/>
        <v>0</v>
      </c>
      <c r="M167" s="145">
        <f t="shared" si="48"/>
        <v>0</v>
      </c>
      <c r="N167" s="342"/>
    </row>
    <row r="168" spans="1:14" ht="15" hidden="1">
      <c r="A168" s="139" t="s">
        <v>61</v>
      </c>
      <c r="B168" s="137" t="s">
        <v>65</v>
      </c>
      <c r="C168" s="115">
        <v>0</v>
      </c>
      <c r="D168" s="115"/>
      <c r="E168" s="115"/>
      <c r="F168" s="115"/>
      <c r="G168" s="116"/>
      <c r="H168" s="330"/>
      <c r="I168" s="330"/>
      <c r="J168" s="115"/>
      <c r="K168" s="115"/>
      <c r="L168" s="115"/>
      <c r="M168" s="115">
        <f>J168-L168</f>
        <v>0</v>
      </c>
      <c r="N168" s="332"/>
    </row>
    <row r="169" spans="1:14" ht="15" hidden="1">
      <c r="A169" s="114" t="s">
        <v>2</v>
      </c>
      <c r="B169" s="137"/>
      <c r="C169" s="115"/>
      <c r="D169" s="115"/>
      <c r="E169" s="115"/>
      <c r="F169" s="115"/>
      <c r="G169" s="116"/>
      <c r="H169" s="330"/>
      <c r="I169" s="330"/>
      <c r="J169" s="115"/>
      <c r="K169" s="115"/>
      <c r="L169" s="115"/>
      <c r="M169" s="115"/>
      <c r="N169" s="332"/>
    </row>
    <row r="170" spans="1:14" ht="15">
      <c r="A170" s="143" t="s">
        <v>62</v>
      </c>
      <c r="B170" s="149"/>
      <c r="C170" s="145">
        <f>C172+C173+C174+C171</f>
        <v>26175000</v>
      </c>
      <c r="D170" s="145">
        <f>26175000-3250000</f>
        <v>22925000</v>
      </c>
      <c r="E170" s="145">
        <f aca="true" t="shared" si="49" ref="E170:M170">E172+E173+E174+E171</f>
        <v>0</v>
      </c>
      <c r="F170" s="145">
        <f t="shared" si="49"/>
        <v>0</v>
      </c>
      <c r="G170" s="145">
        <f t="shared" si="49"/>
        <v>0</v>
      </c>
      <c r="H170" s="145">
        <f t="shared" si="49"/>
        <v>0</v>
      </c>
      <c r="I170" s="145">
        <f t="shared" si="49"/>
        <v>0</v>
      </c>
      <c r="J170" s="145">
        <f t="shared" si="49"/>
        <v>21331127</v>
      </c>
      <c r="K170" s="145">
        <f t="shared" si="49"/>
        <v>21331127</v>
      </c>
      <c r="L170" s="145">
        <f t="shared" si="49"/>
        <v>21331127</v>
      </c>
      <c r="M170" s="145">
        <f t="shared" si="49"/>
        <v>0</v>
      </c>
      <c r="N170" s="342">
        <f aca="true" t="shared" si="50" ref="N170:N183">L170/C170</f>
        <v>0.8149427698185291</v>
      </c>
    </row>
    <row r="171" spans="1:14" s="168" customFormat="1" ht="15" hidden="1">
      <c r="A171" s="147" t="s">
        <v>211</v>
      </c>
      <c r="B171" s="150" t="s">
        <v>66</v>
      </c>
      <c r="C171" s="117">
        <v>0</v>
      </c>
      <c r="D171" s="117">
        <v>0</v>
      </c>
      <c r="E171" s="117"/>
      <c r="F171" s="117"/>
      <c r="G171" s="117"/>
      <c r="H171" s="117"/>
      <c r="I171" s="117"/>
      <c r="J171" s="117"/>
      <c r="K171" s="117"/>
      <c r="L171" s="117"/>
      <c r="M171" s="117">
        <f>J171-L171</f>
        <v>0</v>
      </c>
      <c r="N171" s="341" t="e">
        <f t="shared" si="50"/>
        <v>#DIV/0!</v>
      </c>
    </row>
    <row r="172" spans="1:14" ht="15">
      <c r="A172" s="139" t="s">
        <v>187</v>
      </c>
      <c r="B172" s="137" t="s">
        <v>66</v>
      </c>
      <c r="C172" s="117">
        <v>125000</v>
      </c>
      <c r="D172" s="117">
        <v>75000</v>
      </c>
      <c r="E172" s="117"/>
      <c r="F172" s="117"/>
      <c r="G172" s="117"/>
      <c r="H172" s="117"/>
      <c r="I172" s="117"/>
      <c r="J172" s="117">
        <v>45904</v>
      </c>
      <c r="K172" s="117">
        <v>45904</v>
      </c>
      <c r="L172" s="117">
        <v>45904</v>
      </c>
      <c r="M172" s="117">
        <f>J172-L172</f>
        <v>0</v>
      </c>
      <c r="N172" s="341">
        <f t="shared" si="50"/>
        <v>0.367232</v>
      </c>
    </row>
    <row r="173" spans="1:14" ht="15">
      <c r="A173" s="139" t="s">
        <v>188</v>
      </c>
      <c r="B173" s="137" t="s">
        <v>202</v>
      </c>
      <c r="C173" s="117">
        <v>50000</v>
      </c>
      <c r="D173" s="117">
        <v>50000</v>
      </c>
      <c r="E173" s="117"/>
      <c r="F173" s="117"/>
      <c r="G173" s="117"/>
      <c r="H173" s="117"/>
      <c r="I173" s="117"/>
      <c r="J173" s="117">
        <v>20000</v>
      </c>
      <c r="K173" s="117">
        <v>20000</v>
      </c>
      <c r="L173" s="117">
        <v>20000</v>
      </c>
      <c r="M173" s="117">
        <f>J173-L173</f>
        <v>0</v>
      </c>
      <c r="N173" s="341">
        <f t="shared" si="50"/>
        <v>0.4</v>
      </c>
    </row>
    <row r="174" spans="1:14" ht="15">
      <c r="A174" s="235" t="s">
        <v>286</v>
      </c>
      <c r="B174" s="137" t="s">
        <v>165</v>
      </c>
      <c r="C174" s="115">
        <v>26000000</v>
      </c>
      <c r="D174" s="115">
        <v>22800000</v>
      </c>
      <c r="E174" s="115"/>
      <c r="F174" s="115"/>
      <c r="G174" s="115"/>
      <c r="H174" s="115"/>
      <c r="I174" s="115"/>
      <c r="J174" s="115">
        <v>21265223</v>
      </c>
      <c r="K174" s="115">
        <v>21265223</v>
      </c>
      <c r="L174" s="115">
        <v>21265223</v>
      </c>
      <c r="M174" s="115">
        <f>J174-L174</f>
        <v>0</v>
      </c>
      <c r="N174" s="341">
        <f t="shared" si="50"/>
        <v>0.8178931923076923</v>
      </c>
    </row>
    <row r="175" spans="1:14" ht="15">
      <c r="A175" s="442" t="s">
        <v>289</v>
      </c>
      <c r="B175" s="149"/>
      <c r="C175" s="145">
        <f>C179+C178+C176+C177</f>
        <v>2087000</v>
      </c>
      <c r="D175" s="145">
        <f aca="true" t="shared" si="51" ref="D175:M175">D179+D178+D176+D177</f>
        <v>1777000</v>
      </c>
      <c r="E175" s="145">
        <f t="shared" si="51"/>
        <v>0</v>
      </c>
      <c r="F175" s="145">
        <f t="shared" si="51"/>
        <v>0</v>
      </c>
      <c r="G175" s="145">
        <f t="shared" si="51"/>
        <v>0</v>
      </c>
      <c r="H175" s="145">
        <f t="shared" si="51"/>
        <v>0</v>
      </c>
      <c r="I175" s="145">
        <f t="shared" si="51"/>
        <v>0</v>
      </c>
      <c r="J175" s="145">
        <f t="shared" si="51"/>
        <v>1367304</v>
      </c>
      <c r="K175" s="145">
        <f t="shared" si="51"/>
        <v>1367304</v>
      </c>
      <c r="L175" s="145">
        <f t="shared" si="51"/>
        <v>1367304</v>
      </c>
      <c r="M175" s="145">
        <f t="shared" si="51"/>
        <v>0</v>
      </c>
      <c r="N175" s="342">
        <f t="shared" si="50"/>
        <v>0.6551528509822712</v>
      </c>
    </row>
    <row r="176" spans="1:14" ht="15">
      <c r="A176" s="235" t="s">
        <v>231</v>
      </c>
      <c r="B176" s="137" t="s">
        <v>202</v>
      </c>
      <c r="C176" s="117">
        <v>1800000</v>
      </c>
      <c r="D176" s="117">
        <v>1500000</v>
      </c>
      <c r="E176" s="117"/>
      <c r="F176" s="117"/>
      <c r="G176" s="117"/>
      <c r="H176" s="117"/>
      <c r="I176" s="117"/>
      <c r="J176" s="117">
        <v>1131909</v>
      </c>
      <c r="K176" s="117">
        <v>1131909</v>
      </c>
      <c r="L176" s="117">
        <v>1131909</v>
      </c>
      <c r="M176" s="115">
        <f>J176-L176</f>
        <v>0</v>
      </c>
      <c r="N176" s="332">
        <f t="shared" si="50"/>
        <v>0.6288383333333334</v>
      </c>
    </row>
    <row r="177" spans="1:14" ht="15">
      <c r="A177" s="235" t="s">
        <v>232</v>
      </c>
      <c r="B177" s="261" t="s">
        <v>202</v>
      </c>
      <c r="C177" s="117">
        <v>95000</v>
      </c>
      <c r="D177" s="117">
        <v>85000</v>
      </c>
      <c r="E177" s="117"/>
      <c r="F177" s="117"/>
      <c r="G177" s="117"/>
      <c r="H177" s="117"/>
      <c r="I177" s="117"/>
      <c r="J177" s="117">
        <v>43675</v>
      </c>
      <c r="K177" s="117">
        <v>43675</v>
      </c>
      <c r="L177" s="117">
        <v>43675</v>
      </c>
      <c r="M177" s="115">
        <f>J177-L177</f>
        <v>0</v>
      </c>
      <c r="N177" s="332">
        <f t="shared" si="50"/>
        <v>0.45973684210526317</v>
      </c>
    </row>
    <row r="178" spans="1:14" ht="15" hidden="1">
      <c r="A178" s="229" t="s">
        <v>223</v>
      </c>
      <c r="B178" s="230" t="s">
        <v>64</v>
      </c>
      <c r="C178" s="117">
        <v>0</v>
      </c>
      <c r="D178" s="117">
        <v>0</v>
      </c>
      <c r="E178" s="117"/>
      <c r="F178" s="117"/>
      <c r="G178" s="117"/>
      <c r="H178" s="117"/>
      <c r="I178" s="117"/>
      <c r="J178" s="117">
        <v>0</v>
      </c>
      <c r="K178" s="117">
        <v>0</v>
      </c>
      <c r="L178" s="117">
        <v>0</v>
      </c>
      <c r="M178" s="115">
        <f>J178-L178</f>
        <v>0</v>
      </c>
      <c r="N178" s="332" t="e">
        <f t="shared" si="50"/>
        <v>#DIV/0!</v>
      </c>
    </row>
    <row r="179" spans="1:14" ht="15">
      <c r="A179" s="235" t="s">
        <v>287</v>
      </c>
      <c r="B179" s="231" t="s">
        <v>165</v>
      </c>
      <c r="C179" s="115">
        <v>192000</v>
      </c>
      <c r="D179" s="115">
        <v>192000</v>
      </c>
      <c r="E179" s="115"/>
      <c r="F179" s="115"/>
      <c r="G179" s="115"/>
      <c r="H179" s="115"/>
      <c r="I179" s="115"/>
      <c r="J179" s="115">
        <v>191720</v>
      </c>
      <c r="K179" s="115">
        <v>191720</v>
      </c>
      <c r="L179" s="115">
        <v>191720</v>
      </c>
      <c r="M179" s="115">
        <f>J179-L179</f>
        <v>0</v>
      </c>
      <c r="N179" s="332">
        <f t="shared" si="50"/>
        <v>0.9985416666666667</v>
      </c>
    </row>
    <row r="180" spans="1:14" ht="15" hidden="1">
      <c r="A180" s="114" t="s">
        <v>5</v>
      </c>
      <c r="B180" s="118"/>
      <c r="C180" s="115"/>
      <c r="D180" s="115"/>
      <c r="E180" s="115"/>
      <c r="F180" s="115"/>
      <c r="G180" s="116"/>
      <c r="H180" s="330"/>
      <c r="I180" s="330"/>
      <c r="J180" s="115"/>
      <c r="K180" s="115"/>
      <c r="L180" s="115"/>
      <c r="M180" s="115"/>
      <c r="N180" s="332" t="e">
        <f t="shared" si="50"/>
        <v>#DIV/0!</v>
      </c>
    </row>
    <row r="181" spans="1:14" ht="15" hidden="1">
      <c r="A181" s="114" t="s">
        <v>6</v>
      </c>
      <c r="B181" s="118"/>
      <c r="C181" s="115"/>
      <c r="D181" s="115"/>
      <c r="E181" s="115"/>
      <c r="F181" s="115"/>
      <c r="G181" s="116"/>
      <c r="H181" s="330"/>
      <c r="I181" s="330"/>
      <c r="J181" s="115"/>
      <c r="K181" s="115"/>
      <c r="L181" s="115"/>
      <c r="M181" s="115"/>
      <c r="N181" s="332" t="e">
        <f t="shared" si="50"/>
        <v>#DIV/0!</v>
      </c>
    </row>
    <row r="182" spans="1:14" ht="15">
      <c r="A182" s="451" t="s">
        <v>261</v>
      </c>
      <c r="B182" s="261" t="s">
        <v>165</v>
      </c>
      <c r="C182" s="141">
        <v>0</v>
      </c>
      <c r="D182" s="141">
        <v>0</v>
      </c>
      <c r="E182" s="141"/>
      <c r="F182" s="141"/>
      <c r="G182" s="414"/>
      <c r="H182" s="415"/>
      <c r="I182" s="415"/>
      <c r="J182" s="141"/>
      <c r="K182" s="141"/>
      <c r="L182" s="141"/>
      <c r="M182" s="141"/>
      <c r="N182" s="332"/>
    </row>
    <row r="183" spans="1:14" ht="15">
      <c r="A183" s="452"/>
      <c r="B183" s="261" t="s">
        <v>202</v>
      </c>
      <c r="C183" s="141">
        <v>-45756</v>
      </c>
      <c r="D183" s="141">
        <v>-45756</v>
      </c>
      <c r="E183" s="141"/>
      <c r="F183" s="141"/>
      <c r="G183" s="414"/>
      <c r="H183" s="415"/>
      <c r="I183" s="415"/>
      <c r="J183" s="141">
        <v>-49813</v>
      </c>
      <c r="K183" s="141">
        <v>-49813</v>
      </c>
      <c r="L183" s="141">
        <v>-49813</v>
      </c>
      <c r="M183" s="141"/>
      <c r="N183" s="332">
        <f t="shared" si="50"/>
        <v>1.0886659673048344</v>
      </c>
    </row>
    <row r="184" spans="1:14" ht="15">
      <c r="A184" s="123" t="s">
        <v>8</v>
      </c>
      <c r="B184" s="118"/>
      <c r="C184" s="115"/>
      <c r="D184" s="115"/>
      <c r="E184" s="115"/>
      <c r="F184" s="115"/>
      <c r="G184" s="116"/>
      <c r="H184" s="330"/>
      <c r="I184" s="330"/>
      <c r="J184" s="115"/>
      <c r="K184" s="115"/>
      <c r="L184" s="115"/>
      <c r="M184" s="115"/>
      <c r="N184" s="332"/>
    </row>
    <row r="185" spans="1:14" ht="14.25">
      <c r="A185" s="159" t="s">
        <v>71</v>
      </c>
      <c r="B185" s="169" t="s">
        <v>165</v>
      </c>
      <c r="C185" s="127">
        <f>C174+C160+C179+C182</f>
        <v>41192000</v>
      </c>
      <c r="D185" s="127">
        <f aca="true" t="shared" si="52" ref="D185:M185">D174+D160+D179+D182</f>
        <v>35092000</v>
      </c>
      <c r="E185" s="127">
        <f t="shared" si="52"/>
        <v>0</v>
      </c>
      <c r="F185" s="127">
        <f t="shared" si="52"/>
        <v>0</v>
      </c>
      <c r="G185" s="127">
        <f t="shared" si="52"/>
        <v>0</v>
      </c>
      <c r="H185" s="127">
        <f t="shared" si="52"/>
        <v>0</v>
      </c>
      <c r="I185" s="127">
        <f t="shared" si="52"/>
        <v>0</v>
      </c>
      <c r="J185" s="127">
        <f t="shared" si="52"/>
        <v>33556943</v>
      </c>
      <c r="K185" s="127">
        <f t="shared" si="52"/>
        <v>33556943</v>
      </c>
      <c r="L185" s="127">
        <f t="shared" si="52"/>
        <v>32712333</v>
      </c>
      <c r="M185" s="127">
        <f t="shared" si="52"/>
        <v>844610</v>
      </c>
      <c r="N185" s="333">
        <f>L185/C185</f>
        <v>0.7941428675470965</v>
      </c>
    </row>
    <row r="186" spans="1:14" ht="14.25">
      <c r="A186" s="159" t="s">
        <v>67</v>
      </c>
      <c r="B186" s="169" t="s">
        <v>65</v>
      </c>
      <c r="C186" s="127">
        <f>C168</f>
        <v>0</v>
      </c>
      <c r="D186" s="127">
        <f aca="true" t="shared" si="53" ref="D186:L186">D168</f>
        <v>0</v>
      </c>
      <c r="E186" s="127">
        <f t="shared" si="53"/>
        <v>0</v>
      </c>
      <c r="F186" s="127">
        <f t="shared" si="53"/>
        <v>0</v>
      </c>
      <c r="G186" s="127">
        <f t="shared" si="53"/>
        <v>0</v>
      </c>
      <c r="H186" s="127">
        <f t="shared" si="53"/>
        <v>0</v>
      </c>
      <c r="I186" s="127">
        <f t="shared" si="53"/>
        <v>0</v>
      </c>
      <c r="J186" s="127">
        <f t="shared" si="53"/>
        <v>0</v>
      </c>
      <c r="K186" s="127">
        <f t="shared" si="53"/>
        <v>0</v>
      </c>
      <c r="L186" s="127">
        <f t="shared" si="53"/>
        <v>0</v>
      </c>
      <c r="M186" s="127">
        <f>J186-L186</f>
        <v>0</v>
      </c>
      <c r="N186" s="333"/>
    </row>
    <row r="187" spans="1:14" ht="15" hidden="1">
      <c r="A187" s="159" t="s">
        <v>68</v>
      </c>
      <c r="B187" s="169" t="s">
        <v>64</v>
      </c>
      <c r="C187" s="127">
        <f>C159+C163+C178</f>
        <v>0</v>
      </c>
      <c r="D187" s="127">
        <f>D163+D159+D178</f>
        <v>0</v>
      </c>
      <c r="E187" s="127">
        <f>E163+E159</f>
        <v>0</v>
      </c>
      <c r="F187" s="127">
        <f>F163+F159</f>
        <v>0</v>
      </c>
      <c r="G187" s="140">
        <f>G163+G159</f>
        <v>0</v>
      </c>
      <c r="H187" s="484" t="s">
        <v>105</v>
      </c>
      <c r="I187" s="485"/>
      <c r="J187" s="127">
        <f>J159+J163+J178</f>
        <v>0</v>
      </c>
      <c r="K187" s="127">
        <f>K159+K163+K178</f>
        <v>0</v>
      </c>
      <c r="L187" s="127">
        <f>L159+L163+L178</f>
        <v>0</v>
      </c>
      <c r="M187" s="127">
        <f>M159+M163+M178</f>
        <v>0</v>
      </c>
      <c r="N187" s="333" t="e">
        <f>L187/C187</f>
        <v>#DIV/0!</v>
      </c>
    </row>
    <row r="188" spans="1:14" ht="14.25">
      <c r="A188" s="159" t="s">
        <v>69</v>
      </c>
      <c r="B188" s="169" t="s">
        <v>66</v>
      </c>
      <c r="C188" s="127">
        <f aca="true" t="shared" si="54" ref="C188:I188">C172+C171</f>
        <v>125000</v>
      </c>
      <c r="D188" s="127">
        <f t="shared" si="54"/>
        <v>75000</v>
      </c>
      <c r="E188" s="127">
        <f t="shared" si="54"/>
        <v>0</v>
      </c>
      <c r="F188" s="127">
        <f t="shared" si="54"/>
        <v>0</v>
      </c>
      <c r="G188" s="127">
        <f t="shared" si="54"/>
        <v>0</v>
      </c>
      <c r="H188" s="127">
        <f t="shared" si="54"/>
        <v>0</v>
      </c>
      <c r="I188" s="127">
        <f t="shared" si="54"/>
        <v>0</v>
      </c>
      <c r="J188" s="127">
        <f>J172+J171</f>
        <v>45904</v>
      </c>
      <c r="K188" s="127">
        <f>K172+K171</f>
        <v>45904</v>
      </c>
      <c r="L188" s="127">
        <f>L172+L171</f>
        <v>45904</v>
      </c>
      <c r="M188" s="127">
        <f>J188-L188</f>
        <v>0</v>
      </c>
      <c r="N188" s="333">
        <f>L188/C188</f>
        <v>0.367232</v>
      </c>
    </row>
    <row r="189" spans="1:14" ht="14.25">
      <c r="A189" s="162" t="s">
        <v>70</v>
      </c>
      <c r="B189" s="169" t="s">
        <v>202</v>
      </c>
      <c r="C189" s="164">
        <f>C176+C173+C162+C158+C177+C183</f>
        <v>10149244</v>
      </c>
      <c r="D189" s="164">
        <f aca="true" t="shared" si="55" ref="D189:M189">D176+D173+D162+D158+D177+D183</f>
        <v>9039244</v>
      </c>
      <c r="E189" s="164">
        <f t="shared" si="55"/>
        <v>0</v>
      </c>
      <c r="F189" s="164">
        <f t="shared" si="55"/>
        <v>0</v>
      </c>
      <c r="G189" s="164">
        <f t="shared" si="55"/>
        <v>0</v>
      </c>
      <c r="H189" s="164">
        <f t="shared" si="55"/>
        <v>0</v>
      </c>
      <c r="I189" s="164">
        <f t="shared" si="55"/>
        <v>0</v>
      </c>
      <c r="J189" s="164">
        <f t="shared" si="55"/>
        <v>8387864</v>
      </c>
      <c r="K189" s="164">
        <f t="shared" si="55"/>
        <v>8387864</v>
      </c>
      <c r="L189" s="164">
        <f t="shared" si="55"/>
        <v>7402385</v>
      </c>
      <c r="M189" s="164">
        <f t="shared" si="55"/>
        <v>985479</v>
      </c>
      <c r="N189" s="333">
        <f>L189/C189</f>
        <v>0.729353339027025</v>
      </c>
    </row>
    <row r="190" spans="1:14" ht="15" thickBot="1">
      <c r="A190" s="289" t="s">
        <v>7</v>
      </c>
      <c r="B190" s="170"/>
      <c r="C190" s="164"/>
      <c r="D190" s="164"/>
      <c r="E190" s="164"/>
      <c r="F190" s="164"/>
      <c r="G190" s="164"/>
      <c r="H190" s="164"/>
      <c r="I190" s="164"/>
      <c r="J190" s="166"/>
      <c r="K190" s="166"/>
      <c r="L190" s="166">
        <f>L182</f>
        <v>0</v>
      </c>
      <c r="M190" s="164"/>
      <c r="N190" s="334"/>
    </row>
    <row r="191" spans="1:14" ht="24.75" customHeight="1" thickBot="1">
      <c r="A191" s="49" t="s">
        <v>298</v>
      </c>
      <c r="B191" s="286" t="s">
        <v>152</v>
      </c>
      <c r="C191" s="287">
        <f>C193+C198+C203+C205+C206+C207</f>
        <v>29841687</v>
      </c>
      <c r="D191" s="287">
        <f aca="true" t="shared" si="56" ref="D191:L191">D193+D198+D203+D205+D206+D207</f>
        <v>25701567</v>
      </c>
      <c r="E191" s="287">
        <f t="shared" si="56"/>
        <v>0</v>
      </c>
      <c r="F191" s="287">
        <f t="shared" si="56"/>
        <v>0</v>
      </c>
      <c r="G191" s="287">
        <f t="shared" si="56"/>
        <v>0</v>
      </c>
      <c r="H191" s="287">
        <f t="shared" si="56"/>
        <v>0</v>
      </c>
      <c r="I191" s="287">
        <f t="shared" si="56"/>
        <v>0</v>
      </c>
      <c r="J191" s="287">
        <f t="shared" si="56"/>
        <v>24061528</v>
      </c>
      <c r="K191" s="287">
        <f t="shared" si="56"/>
        <v>24061528</v>
      </c>
      <c r="L191" s="287">
        <f t="shared" si="56"/>
        <v>19738962</v>
      </c>
      <c r="M191" s="287">
        <f>M193+M198+M203+M205+M206</f>
        <v>4322566</v>
      </c>
      <c r="N191" s="288">
        <f>L191/C191</f>
        <v>0.6614559692955696</v>
      </c>
    </row>
    <row r="192" spans="1:14" ht="15" hidden="1">
      <c r="A192" s="282" t="s">
        <v>140</v>
      </c>
      <c r="B192" s="302"/>
      <c r="C192" s="283">
        <f>D192+E192+F192+G192</f>
        <v>0</v>
      </c>
      <c r="D192" s="283"/>
      <c r="E192" s="283"/>
      <c r="F192" s="283"/>
      <c r="G192" s="284"/>
      <c r="H192" s="330"/>
      <c r="I192" s="330"/>
      <c r="J192" s="283"/>
      <c r="K192" s="283"/>
      <c r="L192" s="283"/>
      <c r="M192" s="283"/>
      <c r="N192" s="331"/>
    </row>
    <row r="193" spans="1:14" ht="15">
      <c r="A193" s="143" t="s">
        <v>141</v>
      </c>
      <c r="B193" s="144"/>
      <c r="C193" s="145">
        <f>C194+C195</f>
        <v>27046590</v>
      </c>
      <c r="D193" s="145">
        <f>D194+D195</f>
        <v>23741470</v>
      </c>
      <c r="E193" s="145">
        <f aca="true" t="shared" si="57" ref="E193:M193">E194+E195</f>
        <v>0</v>
      </c>
      <c r="F193" s="145">
        <f t="shared" si="57"/>
        <v>0</v>
      </c>
      <c r="G193" s="145">
        <f t="shared" si="57"/>
        <v>0</v>
      </c>
      <c r="H193" s="145">
        <f t="shared" si="57"/>
        <v>0</v>
      </c>
      <c r="I193" s="145">
        <f t="shared" si="57"/>
        <v>0</v>
      </c>
      <c r="J193" s="145">
        <f t="shared" si="57"/>
        <v>21269653</v>
      </c>
      <c r="K193" s="145">
        <f t="shared" si="57"/>
        <v>21269653</v>
      </c>
      <c r="L193" s="145">
        <f t="shared" si="57"/>
        <v>18461621</v>
      </c>
      <c r="M193" s="145">
        <f t="shared" si="57"/>
        <v>2808032</v>
      </c>
      <c r="N193" s="342">
        <f>L193/C193</f>
        <v>0.6825859008473897</v>
      </c>
    </row>
    <row r="194" spans="1:14" ht="15">
      <c r="A194" s="139" t="s">
        <v>72</v>
      </c>
      <c r="B194" s="137" t="s">
        <v>74</v>
      </c>
      <c r="C194" s="115">
        <v>12810765</v>
      </c>
      <c r="D194" s="115">
        <f>12810765-1805120</f>
        <v>11005645</v>
      </c>
      <c r="E194" s="115"/>
      <c r="F194" s="115"/>
      <c r="G194" s="116"/>
      <c r="H194" s="330"/>
      <c r="I194" s="330"/>
      <c r="J194" s="115">
        <v>8892231</v>
      </c>
      <c r="K194" s="115">
        <v>8892231</v>
      </c>
      <c r="L194" s="117">
        <v>8113532</v>
      </c>
      <c r="M194" s="115">
        <f aca="true" t="shared" si="58" ref="M194:M204">J194-L194</f>
        <v>778699</v>
      </c>
      <c r="N194" s="332">
        <f>L194/C194</f>
        <v>0.6333370411524994</v>
      </c>
    </row>
    <row r="195" spans="1:14" ht="15">
      <c r="A195" s="139" t="s">
        <v>73</v>
      </c>
      <c r="B195" s="137" t="s">
        <v>75</v>
      </c>
      <c r="C195" s="115">
        <v>14235825</v>
      </c>
      <c r="D195" s="115">
        <f>14235825-1500000</f>
        <v>12735825</v>
      </c>
      <c r="E195" s="115"/>
      <c r="F195" s="115"/>
      <c r="G195" s="116"/>
      <c r="H195" s="330"/>
      <c r="I195" s="330"/>
      <c r="J195" s="278">
        <v>12377422</v>
      </c>
      <c r="K195" s="278">
        <v>12377422</v>
      </c>
      <c r="L195" s="234">
        <f>18461621-8113532</f>
        <v>10348089</v>
      </c>
      <c r="M195" s="115">
        <f t="shared" si="58"/>
        <v>2029333</v>
      </c>
      <c r="N195" s="332">
        <f aca="true" t="shared" si="59" ref="N195:N207">L195/C195</f>
        <v>0.7269047631591425</v>
      </c>
    </row>
    <row r="196" spans="1:14" ht="15" hidden="1">
      <c r="A196" s="114" t="s">
        <v>0</v>
      </c>
      <c r="B196" s="137"/>
      <c r="C196" s="115"/>
      <c r="D196" s="115"/>
      <c r="E196" s="115"/>
      <c r="F196" s="115"/>
      <c r="G196" s="116"/>
      <c r="H196" s="330"/>
      <c r="I196" s="330"/>
      <c r="J196" s="115"/>
      <c r="K196" s="115"/>
      <c r="L196" s="115"/>
      <c r="M196" s="115">
        <f t="shared" si="58"/>
        <v>0</v>
      </c>
      <c r="N196" s="332" t="e">
        <f t="shared" si="59"/>
        <v>#DIV/0!</v>
      </c>
    </row>
    <row r="197" spans="1:14" ht="15" hidden="1">
      <c r="A197" s="114" t="s">
        <v>1</v>
      </c>
      <c r="B197" s="137"/>
      <c r="C197" s="115"/>
      <c r="D197" s="115"/>
      <c r="E197" s="115"/>
      <c r="F197" s="115"/>
      <c r="G197" s="116"/>
      <c r="H197" s="330"/>
      <c r="I197" s="330"/>
      <c r="J197" s="115"/>
      <c r="K197" s="115"/>
      <c r="L197" s="115"/>
      <c r="M197" s="115">
        <f t="shared" si="58"/>
        <v>0</v>
      </c>
      <c r="N197" s="332" t="e">
        <f t="shared" si="59"/>
        <v>#DIV/0!</v>
      </c>
    </row>
    <row r="198" spans="1:14" ht="15" hidden="1">
      <c r="A198" s="114" t="s">
        <v>139</v>
      </c>
      <c r="B198" s="137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15">
        <f t="shared" si="58"/>
        <v>0</v>
      </c>
      <c r="N198" s="332" t="e">
        <f t="shared" si="59"/>
        <v>#DIV/0!</v>
      </c>
    </row>
    <row r="199" spans="1:14" ht="15" hidden="1">
      <c r="A199" s="114" t="s">
        <v>177</v>
      </c>
      <c r="B199" s="137" t="s">
        <v>75</v>
      </c>
      <c r="C199" s="117"/>
      <c r="D199" s="117"/>
      <c r="E199" s="117"/>
      <c r="F199" s="117"/>
      <c r="G199" s="151"/>
      <c r="H199" s="152"/>
      <c r="I199" s="152"/>
      <c r="J199" s="117"/>
      <c r="K199" s="117"/>
      <c r="L199" s="117"/>
      <c r="M199" s="115">
        <f t="shared" si="58"/>
        <v>0</v>
      </c>
      <c r="N199" s="332" t="e">
        <f t="shared" si="59"/>
        <v>#DIV/0!</v>
      </c>
    </row>
    <row r="200" spans="1:14" ht="15.75" customHeight="1" hidden="1">
      <c r="A200" s="171" t="s">
        <v>76</v>
      </c>
      <c r="B200" s="137" t="s">
        <v>98</v>
      </c>
      <c r="C200" s="115"/>
      <c r="D200" s="115"/>
      <c r="E200" s="115"/>
      <c r="F200" s="115"/>
      <c r="G200" s="116"/>
      <c r="H200" s="330"/>
      <c r="I200" s="330"/>
      <c r="J200" s="115"/>
      <c r="K200" s="115"/>
      <c r="L200" s="115"/>
      <c r="M200" s="115">
        <f t="shared" si="58"/>
        <v>0</v>
      </c>
      <c r="N200" s="332" t="e">
        <f t="shared" si="59"/>
        <v>#DIV/0!</v>
      </c>
    </row>
    <row r="201" spans="1:14" ht="15" hidden="1">
      <c r="A201" s="114" t="s">
        <v>2</v>
      </c>
      <c r="B201" s="137"/>
      <c r="C201" s="115"/>
      <c r="D201" s="115"/>
      <c r="E201" s="115"/>
      <c r="F201" s="115"/>
      <c r="G201" s="116"/>
      <c r="H201" s="330"/>
      <c r="I201" s="330"/>
      <c r="J201" s="115"/>
      <c r="K201" s="115"/>
      <c r="L201" s="115"/>
      <c r="M201" s="115">
        <f t="shared" si="58"/>
        <v>0</v>
      </c>
      <c r="N201" s="332" t="e">
        <f t="shared" si="59"/>
        <v>#DIV/0!</v>
      </c>
    </row>
    <row r="202" spans="1:14" ht="15" hidden="1">
      <c r="A202" s="114" t="s">
        <v>3</v>
      </c>
      <c r="B202" s="137"/>
      <c r="C202" s="115"/>
      <c r="D202" s="115"/>
      <c r="E202" s="115"/>
      <c r="F202" s="115"/>
      <c r="G202" s="116"/>
      <c r="H202" s="330"/>
      <c r="I202" s="330"/>
      <c r="J202" s="115"/>
      <c r="K202" s="115"/>
      <c r="L202" s="115"/>
      <c r="M202" s="115">
        <f t="shared" si="58"/>
        <v>0</v>
      </c>
      <c r="N202" s="332" t="e">
        <f t="shared" si="59"/>
        <v>#DIV/0!</v>
      </c>
    </row>
    <row r="203" spans="1:14" ht="15" hidden="1">
      <c r="A203" s="114" t="s">
        <v>217</v>
      </c>
      <c r="B203" s="137" t="s">
        <v>75</v>
      </c>
      <c r="C203" s="115"/>
      <c r="D203" s="115"/>
      <c r="E203" s="115"/>
      <c r="F203" s="115"/>
      <c r="G203" s="116"/>
      <c r="H203" s="330"/>
      <c r="I203" s="330"/>
      <c r="J203" s="115"/>
      <c r="K203" s="115"/>
      <c r="L203" s="115"/>
      <c r="M203" s="115">
        <f t="shared" si="58"/>
        <v>0</v>
      </c>
      <c r="N203" s="332" t="e">
        <f t="shared" si="59"/>
        <v>#DIV/0!</v>
      </c>
    </row>
    <row r="204" spans="1:14" ht="15" hidden="1">
      <c r="A204" s="114" t="s">
        <v>5</v>
      </c>
      <c r="B204" s="137"/>
      <c r="C204" s="115"/>
      <c r="D204" s="115"/>
      <c r="E204" s="115"/>
      <c r="F204" s="115"/>
      <c r="G204" s="116"/>
      <c r="H204" s="330"/>
      <c r="I204" s="330"/>
      <c r="J204" s="115"/>
      <c r="K204" s="115"/>
      <c r="L204" s="115"/>
      <c r="M204" s="115">
        <f t="shared" si="58"/>
        <v>0</v>
      </c>
      <c r="N204" s="332" t="e">
        <f t="shared" si="59"/>
        <v>#DIV/0!</v>
      </c>
    </row>
    <row r="205" spans="1:14" ht="15">
      <c r="A205" s="139" t="s">
        <v>99</v>
      </c>
      <c r="B205" s="137" t="s">
        <v>81</v>
      </c>
      <c r="C205" s="115">
        <v>2835000</v>
      </c>
      <c r="D205" s="115">
        <v>2000000</v>
      </c>
      <c r="E205" s="115"/>
      <c r="F205" s="115"/>
      <c r="G205" s="116"/>
      <c r="H205" s="330"/>
      <c r="I205" s="330"/>
      <c r="J205" s="115">
        <v>2835000</v>
      </c>
      <c r="K205" s="115">
        <v>2835000</v>
      </c>
      <c r="L205" s="115">
        <v>1320466</v>
      </c>
      <c r="M205" s="115">
        <f>J205-L205</f>
        <v>1514534</v>
      </c>
      <c r="N205" s="332">
        <f t="shared" si="59"/>
        <v>0.4657728395061728</v>
      </c>
    </row>
    <row r="206" spans="1:14" ht="15">
      <c r="A206" s="451" t="s">
        <v>260</v>
      </c>
      <c r="B206" s="261" t="s">
        <v>74</v>
      </c>
      <c r="C206" s="141">
        <v>-10487</v>
      </c>
      <c r="D206" s="141">
        <v>-10487</v>
      </c>
      <c r="E206" s="115"/>
      <c r="F206" s="115"/>
      <c r="G206" s="116"/>
      <c r="H206" s="330"/>
      <c r="I206" s="330"/>
      <c r="J206" s="122">
        <v>-10487</v>
      </c>
      <c r="K206" s="122">
        <v>-10487</v>
      </c>
      <c r="L206" s="122">
        <v>-10487</v>
      </c>
      <c r="M206" s="115"/>
      <c r="N206" s="332">
        <f t="shared" si="59"/>
        <v>1</v>
      </c>
    </row>
    <row r="207" spans="1:14" ht="15">
      <c r="A207" s="452"/>
      <c r="B207" s="261" t="s">
        <v>75</v>
      </c>
      <c r="C207" s="141">
        <v>-29416</v>
      </c>
      <c r="D207" s="141">
        <v>-29416</v>
      </c>
      <c r="E207" s="115"/>
      <c r="F207" s="115"/>
      <c r="G207" s="116"/>
      <c r="H207" s="330"/>
      <c r="I207" s="330"/>
      <c r="J207" s="122">
        <v>-32638</v>
      </c>
      <c r="K207" s="122">
        <v>-32638</v>
      </c>
      <c r="L207" s="122">
        <v>-32638</v>
      </c>
      <c r="M207" s="115"/>
      <c r="N207" s="332">
        <f t="shared" si="59"/>
        <v>1.1095322273592603</v>
      </c>
    </row>
    <row r="208" spans="1:14" ht="15">
      <c r="A208" s="123" t="s">
        <v>8</v>
      </c>
      <c r="B208" s="118"/>
      <c r="C208" s="115"/>
      <c r="D208" s="115"/>
      <c r="E208" s="115"/>
      <c r="F208" s="115"/>
      <c r="G208" s="116"/>
      <c r="H208" s="330"/>
      <c r="I208" s="330"/>
      <c r="J208" s="115"/>
      <c r="K208" s="115"/>
      <c r="L208" s="115"/>
      <c r="M208" s="115"/>
      <c r="N208" s="332"/>
    </row>
    <row r="209" spans="1:14" ht="14.25">
      <c r="A209" s="161" t="s">
        <v>77</v>
      </c>
      <c r="B209" s="126" t="s">
        <v>98</v>
      </c>
      <c r="C209" s="127">
        <f>C200</f>
        <v>0</v>
      </c>
      <c r="D209" s="127">
        <f aca="true" t="shared" si="60" ref="D209:L209">D200</f>
        <v>0</v>
      </c>
      <c r="E209" s="127">
        <f t="shared" si="60"/>
        <v>0</v>
      </c>
      <c r="F209" s="127">
        <f t="shared" si="60"/>
        <v>0</v>
      </c>
      <c r="G209" s="127">
        <f t="shared" si="60"/>
        <v>0</v>
      </c>
      <c r="H209" s="127">
        <f t="shared" si="60"/>
        <v>0</v>
      </c>
      <c r="I209" s="127">
        <f t="shared" si="60"/>
        <v>0</v>
      </c>
      <c r="J209" s="127">
        <f t="shared" si="60"/>
        <v>0</v>
      </c>
      <c r="K209" s="127">
        <f t="shared" si="60"/>
        <v>0</v>
      </c>
      <c r="L209" s="127">
        <f t="shared" si="60"/>
        <v>0</v>
      </c>
      <c r="M209" s="127">
        <f>J209-L209</f>
        <v>0</v>
      </c>
      <c r="N209" s="333"/>
    </row>
    <row r="210" spans="1:14" ht="15">
      <c r="A210" s="159" t="s">
        <v>78</v>
      </c>
      <c r="B210" s="126" t="s">
        <v>81</v>
      </c>
      <c r="C210" s="127">
        <f>C205</f>
        <v>2835000</v>
      </c>
      <c r="D210" s="127">
        <f>D205</f>
        <v>2000000</v>
      </c>
      <c r="E210" s="127">
        <f>E205</f>
        <v>0</v>
      </c>
      <c r="F210" s="127">
        <f>F205</f>
        <v>0</v>
      </c>
      <c r="G210" s="140">
        <f>G205</f>
        <v>0</v>
      </c>
      <c r="H210" s="485" t="s">
        <v>104</v>
      </c>
      <c r="I210" s="490"/>
      <c r="J210" s="127">
        <f>J205</f>
        <v>2835000</v>
      </c>
      <c r="K210" s="127">
        <f>K205</f>
        <v>2835000</v>
      </c>
      <c r="L210" s="127">
        <f>L205</f>
        <v>1320466</v>
      </c>
      <c r="M210" s="127">
        <f>J210-L210</f>
        <v>1514534</v>
      </c>
      <c r="N210" s="333"/>
    </row>
    <row r="211" spans="1:14" ht="14.25">
      <c r="A211" s="428" t="s">
        <v>79</v>
      </c>
      <c r="B211" s="169" t="s">
        <v>74</v>
      </c>
      <c r="C211" s="127">
        <f>C194+C206</f>
        <v>12800278</v>
      </c>
      <c r="D211" s="127">
        <f aca="true" t="shared" si="61" ref="D211:M211">D194+D206</f>
        <v>10995158</v>
      </c>
      <c r="E211" s="127">
        <f t="shared" si="61"/>
        <v>0</v>
      </c>
      <c r="F211" s="127">
        <f t="shared" si="61"/>
        <v>0</v>
      </c>
      <c r="G211" s="127">
        <f t="shared" si="61"/>
        <v>0</v>
      </c>
      <c r="H211" s="127">
        <f t="shared" si="61"/>
        <v>0</v>
      </c>
      <c r="I211" s="127">
        <f t="shared" si="61"/>
        <v>0</v>
      </c>
      <c r="J211" s="127">
        <f t="shared" si="61"/>
        <v>8881744</v>
      </c>
      <c r="K211" s="127">
        <f t="shared" si="61"/>
        <v>8881744</v>
      </c>
      <c r="L211" s="127">
        <f t="shared" si="61"/>
        <v>8103045</v>
      </c>
      <c r="M211" s="127">
        <f t="shared" si="61"/>
        <v>778699</v>
      </c>
      <c r="N211" s="333">
        <f>L211/C211</f>
        <v>0.6330366418604346</v>
      </c>
    </row>
    <row r="212" spans="1:14" ht="14.25">
      <c r="A212" s="172" t="s">
        <v>80</v>
      </c>
      <c r="B212" s="169" t="s">
        <v>75</v>
      </c>
      <c r="C212" s="127">
        <f>C199+C195+C207</f>
        <v>14206409</v>
      </c>
      <c r="D212" s="127">
        <f aca="true" t="shared" si="62" ref="D212:M212">D199+D195+D207</f>
        <v>12706409</v>
      </c>
      <c r="E212" s="127">
        <f t="shared" si="62"/>
        <v>0</v>
      </c>
      <c r="F212" s="127">
        <f t="shared" si="62"/>
        <v>0</v>
      </c>
      <c r="G212" s="127">
        <f t="shared" si="62"/>
        <v>0</v>
      </c>
      <c r="H212" s="127">
        <f t="shared" si="62"/>
        <v>0</v>
      </c>
      <c r="I212" s="127">
        <f t="shared" si="62"/>
        <v>0</v>
      </c>
      <c r="J212" s="127">
        <f t="shared" si="62"/>
        <v>12344784</v>
      </c>
      <c r="K212" s="127">
        <f t="shared" si="62"/>
        <v>12344784</v>
      </c>
      <c r="L212" s="127">
        <f t="shared" si="62"/>
        <v>10315451</v>
      </c>
      <c r="M212" s="127">
        <f t="shared" si="62"/>
        <v>2029333</v>
      </c>
      <c r="N212" s="333">
        <f>L212/C212</f>
        <v>0.7261124890885515</v>
      </c>
    </row>
    <row r="213" spans="1:14" ht="15" thickBot="1">
      <c r="A213" s="289" t="s">
        <v>7</v>
      </c>
      <c r="B213" s="303"/>
      <c r="C213" s="164"/>
      <c r="D213" s="164"/>
      <c r="E213" s="164"/>
      <c r="F213" s="164"/>
      <c r="G213" s="164"/>
      <c r="H213" s="164"/>
      <c r="I213" s="164"/>
      <c r="J213" s="166"/>
      <c r="K213" s="166"/>
      <c r="L213" s="166"/>
      <c r="M213" s="164"/>
      <c r="N213" s="334"/>
    </row>
    <row r="214" spans="1:14" ht="24.75" customHeight="1" thickBot="1">
      <c r="A214" s="285" t="s">
        <v>82</v>
      </c>
      <c r="B214" s="286" t="s">
        <v>152</v>
      </c>
      <c r="C214" s="287">
        <f>C216+C225</f>
        <v>6500000</v>
      </c>
      <c r="D214" s="287">
        <f aca="true" t="shared" si="63" ref="D214:M214">D216+D225</f>
        <v>6000000</v>
      </c>
      <c r="E214" s="287">
        <f t="shared" si="63"/>
        <v>0</v>
      </c>
      <c r="F214" s="287">
        <f t="shared" si="63"/>
        <v>0</v>
      </c>
      <c r="G214" s="287">
        <f t="shared" si="63"/>
        <v>0</v>
      </c>
      <c r="H214" s="287">
        <f t="shared" si="63"/>
        <v>0</v>
      </c>
      <c r="I214" s="287">
        <f t="shared" si="63"/>
        <v>0</v>
      </c>
      <c r="J214" s="287">
        <f t="shared" si="63"/>
        <v>6490358</v>
      </c>
      <c r="K214" s="287">
        <f t="shared" si="63"/>
        <v>6490358</v>
      </c>
      <c r="L214" s="287">
        <f t="shared" si="63"/>
        <v>5147642</v>
      </c>
      <c r="M214" s="287">
        <f t="shared" si="63"/>
        <v>1342716</v>
      </c>
      <c r="N214" s="288">
        <f>L214/C214</f>
        <v>0.7919449230769231</v>
      </c>
    </row>
    <row r="215" spans="1:14" ht="15" customHeight="1" hidden="1">
      <c r="A215" s="282" t="s">
        <v>140</v>
      </c>
      <c r="B215" s="291"/>
      <c r="C215" s="304">
        <f>D215+E215+F215+G215</f>
        <v>0</v>
      </c>
      <c r="D215" s="305"/>
      <c r="E215" s="305"/>
      <c r="F215" s="305"/>
      <c r="G215" s="306"/>
      <c r="H215" s="330"/>
      <c r="I215" s="330"/>
      <c r="J215" s="305"/>
      <c r="K215" s="305"/>
      <c r="L215" s="305"/>
      <c r="M215" s="305"/>
      <c r="N215" s="331"/>
    </row>
    <row r="216" spans="1:14" ht="15">
      <c r="A216" s="143" t="s">
        <v>141</v>
      </c>
      <c r="B216" s="149" t="s">
        <v>84</v>
      </c>
      <c r="C216" s="145">
        <v>6500000</v>
      </c>
      <c r="D216" s="145">
        <v>6000000</v>
      </c>
      <c r="E216" s="145"/>
      <c r="F216" s="145"/>
      <c r="G216" s="174"/>
      <c r="H216" s="495"/>
      <c r="I216" s="493"/>
      <c r="J216" s="145">
        <v>6490358</v>
      </c>
      <c r="K216" s="145">
        <v>6490358</v>
      </c>
      <c r="L216" s="145">
        <v>5147642</v>
      </c>
      <c r="M216" s="145">
        <f>J216-L216</f>
        <v>1342716</v>
      </c>
      <c r="N216" s="342">
        <f>L216/C216</f>
        <v>0.7919449230769231</v>
      </c>
    </row>
    <row r="217" spans="1:14" ht="15" customHeight="1" hidden="1">
      <c r="A217" s="114" t="s">
        <v>0</v>
      </c>
      <c r="B217" s="118"/>
      <c r="C217" s="117">
        <f aca="true" t="shared" si="64" ref="C217:C224">D217+E217+F217+G217</f>
        <v>0</v>
      </c>
      <c r="D217" s="115"/>
      <c r="E217" s="115"/>
      <c r="F217" s="115"/>
      <c r="G217" s="116"/>
      <c r="H217" s="119" t="s">
        <v>100</v>
      </c>
      <c r="I217" s="124">
        <f>C212+C205+C203</f>
        <v>17041409</v>
      </c>
      <c r="J217" s="115"/>
      <c r="K217" s="115"/>
      <c r="L217" s="115"/>
      <c r="M217" s="115"/>
      <c r="N217" s="332"/>
    </row>
    <row r="218" spans="1:14" ht="15" customHeight="1" hidden="1">
      <c r="A218" s="114" t="s">
        <v>1</v>
      </c>
      <c r="B218" s="118"/>
      <c r="C218" s="117">
        <f t="shared" si="64"/>
        <v>0</v>
      </c>
      <c r="D218" s="115"/>
      <c r="E218" s="115"/>
      <c r="F218" s="115"/>
      <c r="G218" s="116"/>
      <c r="H218" s="119" t="s">
        <v>101</v>
      </c>
      <c r="I218" s="124">
        <f>C218+C217+C216</f>
        <v>6500000</v>
      </c>
      <c r="J218" s="115"/>
      <c r="K218" s="115"/>
      <c r="L218" s="115"/>
      <c r="M218" s="115"/>
      <c r="N218" s="332"/>
    </row>
    <row r="219" spans="1:14" ht="15" customHeight="1" hidden="1">
      <c r="A219" s="114" t="s">
        <v>139</v>
      </c>
      <c r="B219" s="118"/>
      <c r="C219" s="117">
        <f t="shared" si="64"/>
        <v>0</v>
      </c>
      <c r="D219" s="115"/>
      <c r="E219" s="115"/>
      <c r="F219" s="115"/>
      <c r="G219" s="116"/>
      <c r="H219" s="330"/>
      <c r="I219" s="330"/>
      <c r="J219" s="115"/>
      <c r="K219" s="115"/>
      <c r="L219" s="115"/>
      <c r="M219" s="115"/>
      <c r="N219" s="332"/>
    </row>
    <row r="220" spans="1:14" ht="15" customHeight="1" hidden="1">
      <c r="A220" s="114" t="s">
        <v>2</v>
      </c>
      <c r="B220" s="118"/>
      <c r="C220" s="117">
        <f t="shared" si="64"/>
        <v>0</v>
      </c>
      <c r="D220" s="115"/>
      <c r="E220" s="115"/>
      <c r="F220" s="115"/>
      <c r="G220" s="116"/>
      <c r="H220" s="330"/>
      <c r="I220" s="330"/>
      <c r="J220" s="115"/>
      <c r="K220" s="115"/>
      <c r="L220" s="115"/>
      <c r="M220" s="115"/>
      <c r="N220" s="332"/>
    </row>
    <row r="221" spans="1:14" ht="15" customHeight="1" hidden="1">
      <c r="A221" s="114" t="s">
        <v>3</v>
      </c>
      <c r="B221" s="118"/>
      <c r="C221" s="117">
        <f t="shared" si="64"/>
        <v>0</v>
      </c>
      <c r="D221" s="115"/>
      <c r="E221" s="115"/>
      <c r="F221" s="115"/>
      <c r="G221" s="116"/>
      <c r="H221" s="330"/>
      <c r="I221" s="330"/>
      <c r="J221" s="115"/>
      <c r="K221" s="115"/>
      <c r="L221" s="115"/>
      <c r="M221" s="115"/>
      <c r="N221" s="332"/>
    </row>
    <row r="222" spans="1:14" ht="15" customHeight="1" hidden="1">
      <c r="A222" s="114" t="s">
        <v>4</v>
      </c>
      <c r="B222" s="118"/>
      <c r="C222" s="117">
        <f t="shared" si="64"/>
        <v>0</v>
      </c>
      <c r="D222" s="115"/>
      <c r="E222" s="115"/>
      <c r="F222" s="115"/>
      <c r="G222" s="116"/>
      <c r="H222" s="330"/>
      <c r="I222" s="330"/>
      <c r="J222" s="115"/>
      <c r="K222" s="115"/>
      <c r="L222" s="115"/>
      <c r="M222" s="115"/>
      <c r="N222" s="332"/>
    </row>
    <row r="223" spans="1:14" ht="15" hidden="1">
      <c r="A223" s="114" t="s">
        <v>5</v>
      </c>
      <c r="B223" s="118"/>
      <c r="C223" s="117">
        <f t="shared" si="64"/>
        <v>0</v>
      </c>
      <c r="D223" s="115"/>
      <c r="E223" s="115"/>
      <c r="F223" s="115"/>
      <c r="G223" s="116"/>
      <c r="H223" s="330"/>
      <c r="I223" s="330"/>
      <c r="J223" s="115"/>
      <c r="K223" s="115"/>
      <c r="L223" s="115"/>
      <c r="M223" s="115"/>
      <c r="N223" s="332"/>
    </row>
    <row r="224" spans="1:14" ht="15" hidden="1">
      <c r="A224" s="114" t="s">
        <v>6</v>
      </c>
      <c r="B224" s="118"/>
      <c r="C224" s="117">
        <f t="shared" si="64"/>
        <v>0</v>
      </c>
      <c r="D224" s="115"/>
      <c r="E224" s="115"/>
      <c r="F224" s="115"/>
      <c r="G224" s="116"/>
      <c r="H224" s="330"/>
      <c r="I224" s="330"/>
      <c r="J224" s="115"/>
      <c r="K224" s="115"/>
      <c r="L224" s="115"/>
      <c r="M224" s="115"/>
      <c r="N224" s="332"/>
    </row>
    <row r="225" spans="1:14" ht="15">
      <c r="A225" s="121" t="s">
        <v>7</v>
      </c>
      <c r="B225" s="118"/>
      <c r="C225" s="117"/>
      <c r="D225" s="115"/>
      <c r="E225" s="115"/>
      <c r="F225" s="115"/>
      <c r="G225" s="116"/>
      <c r="H225" s="330"/>
      <c r="I225" s="330"/>
      <c r="J225" s="115"/>
      <c r="K225" s="115"/>
      <c r="L225" s="115"/>
      <c r="M225" s="115"/>
      <c r="N225" s="332"/>
    </row>
    <row r="226" spans="1:14" ht="15">
      <c r="A226" s="175" t="s">
        <v>8</v>
      </c>
      <c r="B226" s="118"/>
      <c r="C226" s="115"/>
      <c r="D226" s="115"/>
      <c r="E226" s="115"/>
      <c r="F226" s="115"/>
      <c r="G226" s="116"/>
      <c r="H226" s="119" t="s">
        <v>100</v>
      </c>
      <c r="I226" s="124">
        <f>C216</f>
        <v>6500000</v>
      </c>
      <c r="J226" s="115"/>
      <c r="K226" s="115"/>
      <c r="L226" s="115"/>
      <c r="M226" s="115"/>
      <c r="N226" s="332"/>
    </row>
    <row r="227" spans="1:14" ht="14.25">
      <c r="A227" s="162" t="s">
        <v>83</v>
      </c>
      <c r="B227" s="126" t="s">
        <v>84</v>
      </c>
      <c r="C227" s="127">
        <f>C216</f>
        <v>6500000</v>
      </c>
      <c r="D227" s="127">
        <f>D216</f>
        <v>6000000</v>
      </c>
      <c r="E227" s="127">
        <f aca="true" t="shared" si="65" ref="E227:M227">E216</f>
        <v>0</v>
      </c>
      <c r="F227" s="127">
        <f t="shared" si="65"/>
        <v>0</v>
      </c>
      <c r="G227" s="127">
        <f t="shared" si="65"/>
        <v>0</v>
      </c>
      <c r="H227" s="127">
        <f t="shared" si="65"/>
        <v>0</v>
      </c>
      <c r="I227" s="127">
        <f t="shared" si="65"/>
        <v>0</v>
      </c>
      <c r="J227" s="127">
        <f t="shared" si="65"/>
        <v>6490358</v>
      </c>
      <c r="K227" s="127">
        <f t="shared" si="65"/>
        <v>6490358</v>
      </c>
      <c r="L227" s="127">
        <f>L216</f>
        <v>5147642</v>
      </c>
      <c r="M227" s="127">
        <f t="shared" si="65"/>
        <v>1342716</v>
      </c>
      <c r="N227" s="333">
        <f>L227/C227</f>
        <v>0.7919449230769231</v>
      </c>
    </row>
    <row r="228" spans="1:14" ht="15" thickBot="1">
      <c r="A228" s="289" t="s">
        <v>7</v>
      </c>
      <c r="B228" s="176"/>
      <c r="C228" s="164"/>
      <c r="D228" s="164"/>
      <c r="E228" s="164"/>
      <c r="F228" s="164"/>
      <c r="G228" s="164"/>
      <c r="H228" s="164"/>
      <c r="I228" s="164"/>
      <c r="J228" s="164">
        <f>J225</f>
        <v>0</v>
      </c>
      <c r="K228" s="164">
        <f>K225</f>
        <v>0</v>
      </c>
      <c r="L228" s="164">
        <f>L225</f>
        <v>0</v>
      </c>
      <c r="M228" s="164"/>
      <c r="N228" s="334"/>
    </row>
    <row r="229" spans="1:14" ht="24.75" customHeight="1" thickBot="1">
      <c r="A229" s="285" t="s">
        <v>85</v>
      </c>
      <c r="B229" s="286" t="s">
        <v>152</v>
      </c>
      <c r="C229" s="287">
        <f>C231+C240</f>
        <v>1200000</v>
      </c>
      <c r="D229" s="287">
        <f aca="true" t="shared" si="66" ref="D229:M229">D231+D240</f>
        <v>1100000</v>
      </c>
      <c r="E229" s="287">
        <f t="shared" si="66"/>
        <v>0</v>
      </c>
      <c r="F229" s="287">
        <f t="shared" si="66"/>
        <v>0</v>
      </c>
      <c r="G229" s="287">
        <f t="shared" si="66"/>
        <v>0</v>
      </c>
      <c r="H229" s="287">
        <f t="shared" si="66"/>
        <v>0</v>
      </c>
      <c r="I229" s="287">
        <f t="shared" si="66"/>
        <v>0</v>
      </c>
      <c r="J229" s="287">
        <f t="shared" si="66"/>
        <v>1200000</v>
      </c>
      <c r="K229" s="287">
        <f t="shared" si="66"/>
        <v>1200000</v>
      </c>
      <c r="L229" s="287">
        <f t="shared" si="66"/>
        <v>818293</v>
      </c>
      <c r="M229" s="287">
        <f t="shared" si="66"/>
        <v>381707</v>
      </c>
      <c r="N229" s="288">
        <f>L229/C229</f>
        <v>0.6819108333333334</v>
      </c>
    </row>
    <row r="230" spans="1:14" ht="15" hidden="1">
      <c r="A230" s="282" t="s">
        <v>140</v>
      </c>
      <c r="B230" s="291"/>
      <c r="C230" s="305">
        <f>D230+E230+F230+G230</f>
        <v>0</v>
      </c>
      <c r="D230" s="305"/>
      <c r="E230" s="305"/>
      <c r="F230" s="305"/>
      <c r="G230" s="306"/>
      <c r="H230" s="330"/>
      <c r="I230" s="330"/>
      <c r="J230" s="305"/>
      <c r="K230" s="305"/>
      <c r="L230" s="305"/>
      <c r="M230" s="305"/>
      <c r="N230" s="331"/>
    </row>
    <row r="231" spans="1:14" ht="15">
      <c r="A231" s="143" t="s">
        <v>141</v>
      </c>
      <c r="B231" s="149" t="s">
        <v>87</v>
      </c>
      <c r="C231" s="145">
        <v>1200000</v>
      </c>
      <c r="D231" s="145">
        <v>1100000</v>
      </c>
      <c r="E231" s="145"/>
      <c r="F231" s="145"/>
      <c r="G231" s="174"/>
      <c r="H231" s="493"/>
      <c r="I231" s="494"/>
      <c r="J231" s="145">
        <v>1200000</v>
      </c>
      <c r="K231" s="145">
        <v>1200000</v>
      </c>
      <c r="L231" s="145">
        <v>818293</v>
      </c>
      <c r="M231" s="145">
        <f>J231-L231</f>
        <v>381707</v>
      </c>
      <c r="N231" s="342">
        <f>L231/C231</f>
        <v>0.6819108333333334</v>
      </c>
    </row>
    <row r="232" spans="1:14" ht="15" hidden="1">
      <c r="A232" s="114" t="s">
        <v>0</v>
      </c>
      <c r="B232" s="118"/>
      <c r="C232" s="115">
        <f aca="true" t="shared" si="67" ref="C232:C239">D232+E232+F232+G232</f>
        <v>0</v>
      </c>
      <c r="D232" s="115"/>
      <c r="E232" s="115"/>
      <c r="F232" s="115"/>
      <c r="G232" s="116"/>
      <c r="H232" s="119" t="s">
        <v>100</v>
      </c>
      <c r="I232" s="124">
        <f>C227+C221+C219</f>
        <v>6500000</v>
      </c>
      <c r="J232" s="115"/>
      <c r="K232" s="115"/>
      <c r="L232" s="115"/>
      <c r="M232" s="115"/>
      <c r="N232" s="332"/>
    </row>
    <row r="233" spans="1:14" ht="15" hidden="1">
      <c r="A233" s="114" t="s">
        <v>1</v>
      </c>
      <c r="B233" s="118"/>
      <c r="C233" s="115">
        <f t="shared" si="67"/>
        <v>0</v>
      </c>
      <c r="D233" s="115"/>
      <c r="E233" s="115"/>
      <c r="F233" s="115"/>
      <c r="G233" s="116"/>
      <c r="H233" s="119" t="s">
        <v>101</v>
      </c>
      <c r="I233" s="124">
        <f>C233+C232+C231</f>
        <v>1200000</v>
      </c>
      <c r="J233" s="115"/>
      <c r="K233" s="115"/>
      <c r="L233" s="115"/>
      <c r="M233" s="115"/>
      <c r="N233" s="332"/>
    </row>
    <row r="234" spans="1:14" ht="15" hidden="1">
      <c r="A234" s="114" t="s">
        <v>139</v>
      </c>
      <c r="B234" s="118"/>
      <c r="C234" s="115">
        <f t="shared" si="67"/>
        <v>0</v>
      </c>
      <c r="D234" s="115"/>
      <c r="E234" s="115"/>
      <c r="F234" s="115"/>
      <c r="G234" s="116"/>
      <c r="H234" s="330"/>
      <c r="I234" s="330"/>
      <c r="J234" s="115"/>
      <c r="K234" s="115"/>
      <c r="L234" s="115"/>
      <c r="M234" s="115"/>
      <c r="N234" s="332"/>
    </row>
    <row r="235" spans="1:14" ht="15" hidden="1">
      <c r="A235" s="114" t="s">
        <v>2</v>
      </c>
      <c r="B235" s="118"/>
      <c r="C235" s="115">
        <f t="shared" si="67"/>
        <v>0</v>
      </c>
      <c r="D235" s="115"/>
      <c r="E235" s="115"/>
      <c r="F235" s="115"/>
      <c r="G235" s="116"/>
      <c r="H235" s="330"/>
      <c r="I235" s="330"/>
      <c r="J235" s="115"/>
      <c r="K235" s="115"/>
      <c r="L235" s="115"/>
      <c r="M235" s="115"/>
      <c r="N235" s="332"/>
    </row>
    <row r="236" spans="1:14" ht="15" hidden="1">
      <c r="A236" s="114" t="s">
        <v>3</v>
      </c>
      <c r="B236" s="118"/>
      <c r="C236" s="115">
        <f t="shared" si="67"/>
        <v>0</v>
      </c>
      <c r="D236" s="115"/>
      <c r="E236" s="115"/>
      <c r="F236" s="115"/>
      <c r="G236" s="116"/>
      <c r="H236" s="330"/>
      <c r="I236" s="330"/>
      <c r="J236" s="115"/>
      <c r="K236" s="115"/>
      <c r="L236" s="115"/>
      <c r="M236" s="115"/>
      <c r="N236" s="332"/>
    </row>
    <row r="237" spans="1:14" ht="15" hidden="1">
      <c r="A237" s="114" t="s">
        <v>4</v>
      </c>
      <c r="B237" s="118"/>
      <c r="C237" s="115">
        <f t="shared" si="67"/>
        <v>0</v>
      </c>
      <c r="D237" s="115"/>
      <c r="E237" s="115"/>
      <c r="F237" s="115"/>
      <c r="G237" s="116"/>
      <c r="H237" s="330"/>
      <c r="I237" s="330"/>
      <c r="J237" s="115"/>
      <c r="K237" s="115"/>
      <c r="L237" s="115"/>
      <c r="M237" s="115"/>
      <c r="N237" s="332"/>
    </row>
    <row r="238" spans="1:14" ht="15" hidden="1">
      <c r="A238" s="114" t="s">
        <v>5</v>
      </c>
      <c r="B238" s="118"/>
      <c r="C238" s="115">
        <f t="shared" si="67"/>
        <v>0</v>
      </c>
      <c r="D238" s="115"/>
      <c r="E238" s="115"/>
      <c r="F238" s="115"/>
      <c r="G238" s="116"/>
      <c r="H238" s="330"/>
      <c r="I238" s="330"/>
      <c r="J238" s="115"/>
      <c r="K238" s="115"/>
      <c r="L238" s="115"/>
      <c r="M238" s="115"/>
      <c r="N238" s="332"/>
    </row>
    <row r="239" spans="1:14" ht="15" hidden="1">
      <c r="A239" s="114" t="s">
        <v>6</v>
      </c>
      <c r="B239" s="118"/>
      <c r="C239" s="115">
        <f t="shared" si="67"/>
        <v>0</v>
      </c>
      <c r="D239" s="115"/>
      <c r="E239" s="115"/>
      <c r="F239" s="115"/>
      <c r="G239" s="116"/>
      <c r="H239" s="330"/>
      <c r="I239" s="330"/>
      <c r="J239" s="115"/>
      <c r="K239" s="115"/>
      <c r="L239" s="115"/>
      <c r="M239" s="115"/>
      <c r="N239" s="332"/>
    </row>
    <row r="240" spans="1:14" ht="15">
      <c r="A240" s="559" t="s">
        <v>299</v>
      </c>
      <c r="B240" s="118"/>
      <c r="C240" s="115"/>
      <c r="D240" s="115"/>
      <c r="E240" s="115"/>
      <c r="F240" s="115"/>
      <c r="G240" s="116"/>
      <c r="H240" s="330"/>
      <c r="I240" s="330"/>
      <c r="J240" s="115"/>
      <c r="K240" s="115"/>
      <c r="L240" s="115"/>
      <c r="M240" s="115"/>
      <c r="N240" s="332"/>
    </row>
    <row r="241" spans="1:14" ht="15">
      <c r="A241" s="114" t="s">
        <v>8</v>
      </c>
      <c r="B241" s="118"/>
      <c r="C241" s="115"/>
      <c r="D241" s="115"/>
      <c r="E241" s="115"/>
      <c r="F241" s="115"/>
      <c r="G241" s="116"/>
      <c r="H241" s="119" t="s">
        <v>100</v>
      </c>
      <c r="I241" s="124">
        <f>C231</f>
        <v>1200000</v>
      </c>
      <c r="J241" s="115"/>
      <c r="K241" s="115"/>
      <c r="L241" s="115"/>
      <c r="M241" s="115"/>
      <c r="N241" s="332"/>
    </row>
    <row r="242" spans="1:14" ht="14.25">
      <c r="A242" s="162" t="s">
        <v>86</v>
      </c>
      <c r="B242" s="126" t="s">
        <v>87</v>
      </c>
      <c r="C242" s="127">
        <f>C231</f>
        <v>1200000</v>
      </c>
      <c r="D242" s="127">
        <f>D231</f>
        <v>1100000</v>
      </c>
      <c r="E242" s="127">
        <f aca="true" t="shared" si="68" ref="E242:K242">E231</f>
        <v>0</v>
      </c>
      <c r="F242" s="127">
        <f t="shared" si="68"/>
        <v>0</v>
      </c>
      <c r="G242" s="127">
        <f t="shared" si="68"/>
        <v>0</v>
      </c>
      <c r="H242" s="127">
        <f t="shared" si="68"/>
        <v>0</v>
      </c>
      <c r="I242" s="127">
        <f t="shared" si="68"/>
        <v>0</v>
      </c>
      <c r="J242" s="127">
        <f t="shared" si="68"/>
        <v>1200000</v>
      </c>
      <c r="K242" s="127">
        <f t="shared" si="68"/>
        <v>1200000</v>
      </c>
      <c r="L242" s="127">
        <f>L231</f>
        <v>818293</v>
      </c>
      <c r="M242" s="127">
        <f>M240+M239+M238+M237+M236+M235+M234+M233+M232+M231+M230</f>
        <v>381707</v>
      </c>
      <c r="N242" s="333">
        <f>L242/C242</f>
        <v>0.6819108333333334</v>
      </c>
    </row>
    <row r="243" spans="1:14" ht="15" thickBot="1">
      <c r="A243" s="289" t="s">
        <v>7</v>
      </c>
      <c r="B243" s="176"/>
      <c r="C243" s="164"/>
      <c r="D243" s="164"/>
      <c r="E243" s="164"/>
      <c r="F243" s="164"/>
      <c r="G243" s="164"/>
      <c r="H243" s="164"/>
      <c r="I243" s="164"/>
      <c r="J243" s="164">
        <f>J240</f>
        <v>0</v>
      </c>
      <c r="K243" s="164">
        <f>K240</f>
        <v>0</v>
      </c>
      <c r="L243" s="164">
        <f>L240</f>
        <v>0</v>
      </c>
      <c r="M243" s="164"/>
      <c r="N243" s="334"/>
    </row>
    <row r="244" spans="1:14" ht="24.75" customHeight="1" thickBot="1">
      <c r="A244" s="285" t="s">
        <v>88</v>
      </c>
      <c r="B244" s="286" t="s">
        <v>152</v>
      </c>
      <c r="C244" s="287">
        <f>C246+C248+C254+C255</f>
        <v>51476114</v>
      </c>
      <c r="D244" s="287">
        <f aca="true" t="shared" si="69" ref="D244:M244">D246+D248+D254+D255</f>
        <v>41016114</v>
      </c>
      <c r="E244" s="287">
        <f t="shared" si="69"/>
        <v>0</v>
      </c>
      <c r="F244" s="287">
        <f t="shared" si="69"/>
        <v>0</v>
      </c>
      <c r="G244" s="287">
        <f t="shared" si="69"/>
        <v>0</v>
      </c>
      <c r="H244" s="287">
        <f t="shared" si="69"/>
        <v>0</v>
      </c>
      <c r="I244" s="287">
        <f t="shared" si="69"/>
        <v>0</v>
      </c>
      <c r="J244" s="287">
        <f t="shared" si="69"/>
        <v>51093342</v>
      </c>
      <c r="K244" s="287">
        <f t="shared" si="69"/>
        <v>51093342</v>
      </c>
      <c r="L244" s="287">
        <f t="shared" si="69"/>
        <v>32119176</v>
      </c>
      <c r="M244" s="287">
        <f t="shared" si="69"/>
        <v>18974166</v>
      </c>
      <c r="N244" s="288">
        <f>L244/C244</f>
        <v>0.6239627179316605</v>
      </c>
    </row>
    <row r="245" spans="1:14" ht="15" hidden="1">
      <c r="A245" s="282" t="s">
        <v>140</v>
      </c>
      <c r="B245" s="291"/>
      <c r="C245" s="305">
        <f>D245+E245+F245+G245</f>
        <v>0</v>
      </c>
      <c r="D245" s="305"/>
      <c r="E245" s="305"/>
      <c r="F245" s="305"/>
      <c r="G245" s="306"/>
      <c r="H245" s="330"/>
      <c r="I245" s="330"/>
      <c r="J245" s="305"/>
      <c r="K245" s="305"/>
      <c r="L245" s="305"/>
      <c r="M245" s="305"/>
      <c r="N245" s="331"/>
    </row>
    <row r="246" spans="1:14" ht="15">
      <c r="A246" s="143" t="s">
        <v>141</v>
      </c>
      <c r="B246" s="149" t="s">
        <v>93</v>
      </c>
      <c r="C246" s="145">
        <v>32350000</v>
      </c>
      <c r="D246" s="145">
        <f>32350000-4500000</f>
        <v>27850000</v>
      </c>
      <c r="E246" s="145"/>
      <c r="F246" s="145"/>
      <c r="G246" s="174"/>
      <c r="H246" s="343"/>
      <c r="I246" s="343"/>
      <c r="J246" s="145">
        <v>31979228</v>
      </c>
      <c r="K246" s="145">
        <v>31979228</v>
      </c>
      <c r="L246" s="145">
        <v>21375927</v>
      </c>
      <c r="M246" s="145">
        <f>J246-L246</f>
        <v>10603301</v>
      </c>
      <c r="N246" s="342">
        <f>L246/C246</f>
        <v>0.6607705409582689</v>
      </c>
    </row>
    <row r="247" spans="1:14" ht="15" hidden="1">
      <c r="A247" s="143" t="s">
        <v>0</v>
      </c>
      <c r="B247" s="149"/>
      <c r="C247" s="145"/>
      <c r="D247" s="145"/>
      <c r="E247" s="145"/>
      <c r="F247" s="145"/>
      <c r="G247" s="174"/>
      <c r="H247" s="343"/>
      <c r="I247" s="343"/>
      <c r="J247" s="145"/>
      <c r="K247" s="145"/>
      <c r="L247" s="145"/>
      <c r="M247" s="145">
        <f aca="true" t="shared" si="70" ref="M247:M254">J247-L247</f>
        <v>0</v>
      </c>
      <c r="N247" s="342" t="e">
        <f aca="true" t="shared" si="71" ref="N247:N255">L247/C247</f>
        <v>#DIV/0!</v>
      </c>
    </row>
    <row r="248" spans="1:14" ht="15">
      <c r="A248" s="143" t="s">
        <v>1</v>
      </c>
      <c r="B248" s="149" t="s">
        <v>92</v>
      </c>
      <c r="C248" s="145">
        <v>22000000</v>
      </c>
      <c r="D248" s="145">
        <v>17000000</v>
      </c>
      <c r="E248" s="145"/>
      <c r="F248" s="145"/>
      <c r="G248" s="174"/>
      <c r="H248" s="343"/>
      <c r="I248" s="343"/>
      <c r="J248" s="145">
        <v>22000000</v>
      </c>
      <c r="K248" s="145">
        <v>22000000</v>
      </c>
      <c r="L248" s="145">
        <v>14621601</v>
      </c>
      <c r="M248" s="145">
        <f t="shared" si="70"/>
        <v>7378399</v>
      </c>
      <c r="N248" s="342">
        <f t="shared" si="71"/>
        <v>0.6646182272727272</v>
      </c>
    </row>
    <row r="249" spans="1:14" ht="15" hidden="1">
      <c r="A249" s="143" t="s">
        <v>139</v>
      </c>
      <c r="B249" s="149"/>
      <c r="C249" s="145"/>
      <c r="D249" s="145"/>
      <c r="E249" s="145"/>
      <c r="F249" s="145"/>
      <c r="G249" s="174"/>
      <c r="H249" s="343"/>
      <c r="I249" s="343"/>
      <c r="J249" s="145"/>
      <c r="K249" s="145"/>
      <c r="L249" s="145"/>
      <c r="M249" s="145">
        <f t="shared" si="70"/>
        <v>0</v>
      </c>
      <c r="N249" s="342" t="e">
        <f t="shared" si="71"/>
        <v>#DIV/0!</v>
      </c>
    </row>
    <row r="250" spans="1:14" ht="15" hidden="1">
      <c r="A250" s="143" t="s">
        <v>2</v>
      </c>
      <c r="B250" s="149"/>
      <c r="C250" s="145"/>
      <c r="D250" s="145"/>
      <c r="E250" s="145"/>
      <c r="F250" s="145"/>
      <c r="G250" s="174"/>
      <c r="H250" s="343"/>
      <c r="I250" s="343"/>
      <c r="J250" s="145"/>
      <c r="K250" s="145"/>
      <c r="L250" s="145"/>
      <c r="M250" s="145">
        <f t="shared" si="70"/>
        <v>0</v>
      </c>
      <c r="N250" s="342" t="e">
        <f t="shared" si="71"/>
        <v>#DIV/0!</v>
      </c>
    </row>
    <row r="251" spans="1:14" ht="15" hidden="1">
      <c r="A251" s="143" t="s">
        <v>3</v>
      </c>
      <c r="B251" s="149"/>
      <c r="C251" s="145"/>
      <c r="D251" s="145"/>
      <c r="E251" s="145"/>
      <c r="F251" s="145"/>
      <c r="G251" s="174"/>
      <c r="H251" s="343"/>
      <c r="I251" s="343"/>
      <c r="J251" s="145"/>
      <c r="K251" s="145"/>
      <c r="L251" s="145"/>
      <c r="M251" s="145">
        <f t="shared" si="70"/>
        <v>0</v>
      </c>
      <c r="N251" s="342" t="e">
        <f t="shared" si="71"/>
        <v>#DIV/0!</v>
      </c>
    </row>
    <row r="252" spans="1:14" ht="15" hidden="1">
      <c r="A252" s="143" t="s">
        <v>4</v>
      </c>
      <c r="B252" s="149"/>
      <c r="C252" s="145"/>
      <c r="D252" s="145"/>
      <c r="E252" s="145"/>
      <c r="F252" s="145"/>
      <c r="G252" s="174"/>
      <c r="H252" s="343"/>
      <c r="I252" s="343"/>
      <c r="J252" s="145"/>
      <c r="K252" s="145"/>
      <c r="L252" s="145"/>
      <c r="M252" s="145">
        <f t="shared" si="70"/>
        <v>0</v>
      </c>
      <c r="N252" s="342" t="e">
        <f t="shared" si="71"/>
        <v>#DIV/0!</v>
      </c>
    </row>
    <row r="253" spans="1:14" ht="15" hidden="1">
      <c r="A253" s="143" t="s">
        <v>5</v>
      </c>
      <c r="B253" s="149"/>
      <c r="C253" s="145"/>
      <c r="D253" s="145"/>
      <c r="E253" s="145"/>
      <c r="F253" s="145"/>
      <c r="G253" s="174"/>
      <c r="H253" s="343"/>
      <c r="I253" s="343"/>
      <c r="J253" s="145"/>
      <c r="K253" s="145"/>
      <c r="L253" s="145"/>
      <c r="M253" s="145">
        <f t="shared" si="70"/>
        <v>0</v>
      </c>
      <c r="N253" s="342" t="e">
        <f t="shared" si="71"/>
        <v>#DIV/0!</v>
      </c>
    </row>
    <row r="254" spans="1:14" ht="15">
      <c r="A254" s="143" t="s">
        <v>6</v>
      </c>
      <c r="B254" s="149" t="s">
        <v>93</v>
      </c>
      <c r="C254" s="145">
        <v>3857000</v>
      </c>
      <c r="D254" s="145">
        <f>977000+960000+960000</f>
        <v>2897000</v>
      </c>
      <c r="E254" s="145"/>
      <c r="F254" s="145"/>
      <c r="G254" s="174"/>
      <c r="H254" s="343"/>
      <c r="I254" s="343"/>
      <c r="J254" s="145">
        <v>3845000</v>
      </c>
      <c r="K254" s="145">
        <v>3845000</v>
      </c>
      <c r="L254" s="145">
        <v>2852534</v>
      </c>
      <c r="M254" s="145">
        <f t="shared" si="70"/>
        <v>992466</v>
      </c>
      <c r="N254" s="342">
        <f t="shared" si="71"/>
        <v>0.7395732434534612</v>
      </c>
    </row>
    <row r="255" spans="1:17" ht="15">
      <c r="A255" s="121" t="s">
        <v>7</v>
      </c>
      <c r="B255" s="118"/>
      <c r="C255" s="141">
        <v>-6730886</v>
      </c>
      <c r="D255" s="141">
        <v>-6730886</v>
      </c>
      <c r="E255" s="115"/>
      <c r="F255" s="115"/>
      <c r="G255" s="116"/>
      <c r="H255" s="330"/>
      <c r="I255" s="330"/>
      <c r="J255" s="122">
        <v>-6730886</v>
      </c>
      <c r="K255" s="122">
        <v>-6730886</v>
      </c>
      <c r="L255" s="122">
        <v>-6730886</v>
      </c>
      <c r="M255" s="115"/>
      <c r="N255" s="342">
        <f t="shared" si="71"/>
        <v>1</v>
      </c>
      <c r="Q255" s="188"/>
    </row>
    <row r="256" spans="1:14" ht="15">
      <c r="A256" s="123" t="s">
        <v>8</v>
      </c>
      <c r="B256" s="118"/>
      <c r="C256" s="115"/>
      <c r="D256" s="115"/>
      <c r="E256" s="115"/>
      <c r="F256" s="115"/>
      <c r="G256" s="116"/>
      <c r="H256" s="330"/>
      <c r="I256" s="330"/>
      <c r="J256" s="115"/>
      <c r="K256" s="115"/>
      <c r="L256" s="115"/>
      <c r="M256" s="115"/>
      <c r="N256" s="332"/>
    </row>
    <row r="257" spans="1:14" ht="15">
      <c r="A257" s="159" t="s">
        <v>89</v>
      </c>
      <c r="B257" s="126" t="s">
        <v>92</v>
      </c>
      <c r="C257" s="127">
        <f>C248</f>
        <v>22000000</v>
      </c>
      <c r="D257" s="127">
        <f>D248</f>
        <v>17000000</v>
      </c>
      <c r="E257" s="127">
        <f>E248</f>
        <v>0</v>
      </c>
      <c r="F257" s="127">
        <f>F248</f>
        <v>0</v>
      </c>
      <c r="G257" s="140">
        <f>G248</f>
        <v>0</v>
      </c>
      <c r="H257" s="485" t="s">
        <v>103</v>
      </c>
      <c r="I257" s="490"/>
      <c r="J257" s="127">
        <f>J248</f>
        <v>22000000</v>
      </c>
      <c r="K257" s="127">
        <f>K248</f>
        <v>22000000</v>
      </c>
      <c r="L257" s="127">
        <f>L248</f>
        <v>14621601</v>
      </c>
      <c r="M257" s="127">
        <f>M248</f>
        <v>7378399</v>
      </c>
      <c r="N257" s="333">
        <f>L257/C257</f>
        <v>0.6646182272727272</v>
      </c>
    </row>
    <row r="258" spans="1:14" ht="14.25">
      <c r="A258" s="159" t="s">
        <v>90</v>
      </c>
      <c r="B258" s="126" t="s">
        <v>93</v>
      </c>
      <c r="C258" s="127">
        <f>C246+C254</f>
        <v>36207000</v>
      </c>
      <c r="D258" s="127">
        <f>D246+D254</f>
        <v>30747000</v>
      </c>
      <c r="E258" s="127">
        <f aca="true" t="shared" si="72" ref="E258:M258">E246+E254</f>
        <v>0</v>
      </c>
      <c r="F258" s="127">
        <f t="shared" si="72"/>
        <v>0</v>
      </c>
      <c r="G258" s="127">
        <f t="shared" si="72"/>
        <v>0</v>
      </c>
      <c r="H258" s="127">
        <f t="shared" si="72"/>
        <v>0</v>
      </c>
      <c r="I258" s="127">
        <f t="shared" si="72"/>
        <v>0</v>
      </c>
      <c r="J258" s="127">
        <f t="shared" si="72"/>
        <v>35824228</v>
      </c>
      <c r="K258" s="127">
        <f t="shared" si="72"/>
        <v>35824228</v>
      </c>
      <c r="L258" s="127">
        <f t="shared" si="72"/>
        <v>24228461</v>
      </c>
      <c r="M258" s="127">
        <f t="shared" si="72"/>
        <v>11595767</v>
      </c>
      <c r="N258" s="333">
        <f>L258/C258</f>
        <v>0.6691651061949346</v>
      </c>
    </row>
    <row r="259" spans="1:14" ht="15.75" thickBot="1">
      <c r="A259" s="162" t="s">
        <v>91</v>
      </c>
      <c r="B259" s="176" t="s">
        <v>94</v>
      </c>
      <c r="C259" s="164">
        <f>D259+E259+F259+G259</f>
        <v>0</v>
      </c>
      <c r="D259" s="164"/>
      <c r="E259" s="164"/>
      <c r="F259" s="164"/>
      <c r="G259" s="177"/>
      <c r="H259" s="178" t="s">
        <v>101</v>
      </c>
      <c r="I259" s="179">
        <f>C259+C258+C257</f>
        <v>58207000</v>
      </c>
      <c r="J259" s="164"/>
      <c r="K259" s="164"/>
      <c r="L259" s="164"/>
      <c r="M259" s="164"/>
      <c r="N259" s="334"/>
    </row>
    <row r="260" spans="1:16" ht="15.75" thickBot="1">
      <c r="A260" s="180" t="s">
        <v>7</v>
      </c>
      <c r="B260" s="181"/>
      <c r="C260" s="558">
        <v>-6730886</v>
      </c>
      <c r="D260" s="558">
        <v>-6730886</v>
      </c>
      <c r="E260" s="182"/>
      <c r="F260" s="182"/>
      <c r="G260" s="183"/>
      <c r="H260" s="184"/>
      <c r="I260" s="185"/>
      <c r="J260" s="186">
        <f>J255</f>
        <v>-6730886</v>
      </c>
      <c r="K260" s="186">
        <f>K255</f>
        <v>-6730886</v>
      </c>
      <c r="L260" s="186">
        <f>L255</f>
        <v>-6730886</v>
      </c>
      <c r="M260" s="187"/>
      <c r="N260" s="236"/>
      <c r="P260" s="188"/>
    </row>
    <row r="261" spans="1:13" ht="24.75" customHeight="1" hidden="1">
      <c r="A261" s="112" t="s">
        <v>95</v>
      </c>
      <c r="B261" s="113" t="s">
        <v>152</v>
      </c>
      <c r="C261" s="189">
        <f>C269+C272</f>
        <v>0</v>
      </c>
      <c r="D261" s="189">
        <f aca="true" t="shared" si="73" ref="D261:M261">D269+D272</f>
        <v>0</v>
      </c>
      <c r="E261" s="189">
        <f t="shared" si="73"/>
        <v>6300</v>
      </c>
      <c r="F261" s="189">
        <f t="shared" si="73"/>
        <v>6300</v>
      </c>
      <c r="G261" s="189">
        <f t="shared" si="73"/>
        <v>20600</v>
      </c>
      <c r="H261" s="189" t="e">
        <f t="shared" si="73"/>
        <v>#VALUE!</v>
      </c>
      <c r="I261" s="189">
        <f t="shared" si="73"/>
        <v>0</v>
      </c>
      <c r="J261" s="189">
        <f t="shared" si="73"/>
        <v>0</v>
      </c>
      <c r="K261" s="189">
        <f t="shared" si="73"/>
        <v>0</v>
      </c>
      <c r="L261" s="189">
        <f t="shared" si="73"/>
        <v>0</v>
      </c>
      <c r="M261" s="189">
        <f t="shared" si="73"/>
        <v>0</v>
      </c>
    </row>
    <row r="262" spans="1:13" ht="15" customHeight="1" hidden="1">
      <c r="A262" s="114" t="s">
        <v>140</v>
      </c>
      <c r="B262" s="132"/>
      <c r="C262" s="173">
        <f>D262+E262+F262+G262</f>
        <v>0</v>
      </c>
      <c r="D262" s="190"/>
      <c r="E262" s="190"/>
      <c r="F262" s="190"/>
      <c r="G262" s="191"/>
      <c r="H262" s="192" t="s">
        <v>100</v>
      </c>
      <c r="I262" s="193">
        <f>C257</f>
        <v>22000000</v>
      </c>
      <c r="J262" s="190"/>
      <c r="K262" s="190"/>
      <c r="L262" s="190"/>
      <c r="M262" s="190"/>
    </row>
    <row r="263" spans="1:13" ht="15" customHeight="1" hidden="1">
      <c r="A263" s="114" t="s">
        <v>141</v>
      </c>
      <c r="B263" s="132"/>
      <c r="C263" s="173">
        <f aca="true" t="shared" si="74" ref="C263:C271">D263+E263+F263+G263</f>
        <v>0</v>
      </c>
      <c r="D263" s="190"/>
      <c r="E263" s="190"/>
      <c r="F263" s="190"/>
      <c r="G263" s="191"/>
      <c r="H263" s="192" t="s">
        <v>101</v>
      </c>
      <c r="I263" s="193">
        <f>C263</f>
        <v>0</v>
      </c>
      <c r="J263" s="190"/>
      <c r="K263" s="190"/>
      <c r="L263" s="190"/>
      <c r="M263" s="190"/>
    </row>
    <row r="264" spans="1:13" ht="15" hidden="1">
      <c r="A264" s="114" t="s">
        <v>0</v>
      </c>
      <c r="B264" s="132"/>
      <c r="C264" s="173">
        <f t="shared" si="74"/>
        <v>0</v>
      </c>
      <c r="D264" s="190"/>
      <c r="E264" s="190"/>
      <c r="F264" s="190"/>
      <c r="G264" s="191"/>
      <c r="J264" s="190"/>
      <c r="K264" s="190"/>
      <c r="L264" s="190"/>
      <c r="M264" s="190"/>
    </row>
    <row r="265" spans="1:13" ht="15" hidden="1">
      <c r="A265" s="114" t="s">
        <v>1</v>
      </c>
      <c r="B265" s="132"/>
      <c r="C265" s="173">
        <f t="shared" si="74"/>
        <v>0</v>
      </c>
      <c r="D265" s="190"/>
      <c r="E265" s="190"/>
      <c r="F265" s="190"/>
      <c r="G265" s="191"/>
      <c r="J265" s="190"/>
      <c r="K265" s="190"/>
      <c r="L265" s="190"/>
      <c r="M265" s="190"/>
    </row>
    <row r="266" spans="1:13" ht="15" hidden="1">
      <c r="A266" s="114" t="s">
        <v>139</v>
      </c>
      <c r="B266" s="132"/>
      <c r="C266" s="173">
        <f t="shared" si="74"/>
        <v>0</v>
      </c>
      <c r="D266" s="190"/>
      <c r="E266" s="190"/>
      <c r="F266" s="190"/>
      <c r="G266" s="191"/>
      <c r="J266" s="190"/>
      <c r="K266" s="190"/>
      <c r="L266" s="190"/>
      <c r="M266" s="190"/>
    </row>
    <row r="267" spans="1:13" ht="15" hidden="1">
      <c r="A267" s="114" t="s">
        <v>2</v>
      </c>
      <c r="B267" s="132"/>
      <c r="C267" s="173">
        <f t="shared" si="74"/>
        <v>0</v>
      </c>
      <c r="D267" s="190"/>
      <c r="E267" s="190"/>
      <c r="F267" s="190"/>
      <c r="G267" s="191"/>
      <c r="J267" s="190"/>
      <c r="K267" s="190"/>
      <c r="L267" s="190"/>
      <c r="M267" s="190"/>
    </row>
    <row r="268" spans="1:13" ht="15" hidden="1">
      <c r="A268" s="114" t="s">
        <v>3</v>
      </c>
      <c r="B268" s="132"/>
      <c r="C268" s="173">
        <f t="shared" si="74"/>
        <v>0</v>
      </c>
      <c r="D268" s="190"/>
      <c r="E268" s="190"/>
      <c r="F268" s="190"/>
      <c r="G268" s="191"/>
      <c r="J268" s="190"/>
      <c r="K268" s="190"/>
      <c r="L268" s="190"/>
      <c r="M268" s="190"/>
    </row>
    <row r="269" spans="1:13" ht="15" hidden="1">
      <c r="A269" s="114" t="s">
        <v>4</v>
      </c>
      <c r="B269" s="118"/>
      <c r="C269" s="115"/>
      <c r="D269" s="194"/>
      <c r="E269" s="194">
        <v>6300</v>
      </c>
      <c r="F269" s="194">
        <v>6300</v>
      </c>
      <c r="G269" s="195">
        <v>20600</v>
      </c>
      <c r="H269" s="488" t="s">
        <v>102</v>
      </c>
      <c r="I269" s="489"/>
      <c r="J269" s="194"/>
      <c r="K269" s="194"/>
      <c r="L269" s="194"/>
      <c r="M269" s="194">
        <f>J269-L269</f>
        <v>0</v>
      </c>
    </row>
    <row r="270" spans="1:13" ht="15" hidden="1">
      <c r="A270" s="114" t="s">
        <v>5</v>
      </c>
      <c r="B270" s="118"/>
      <c r="C270" s="115">
        <f t="shared" si="74"/>
        <v>0</v>
      </c>
      <c r="D270" s="194"/>
      <c r="E270" s="194"/>
      <c r="F270" s="194"/>
      <c r="G270" s="195"/>
      <c r="H270" s="196"/>
      <c r="I270" s="197"/>
      <c r="J270" s="194"/>
      <c r="K270" s="194"/>
      <c r="L270" s="194"/>
      <c r="M270" s="194"/>
    </row>
    <row r="271" spans="1:13" ht="15" hidden="1">
      <c r="A271" s="114" t="s">
        <v>6</v>
      </c>
      <c r="B271" s="118"/>
      <c r="C271" s="115">
        <f t="shared" si="74"/>
        <v>0</v>
      </c>
      <c r="D271" s="194"/>
      <c r="E271" s="194"/>
      <c r="F271" s="194"/>
      <c r="G271" s="195"/>
      <c r="H271" s="196"/>
      <c r="I271" s="197"/>
      <c r="J271" s="194"/>
      <c r="K271" s="194"/>
      <c r="L271" s="194"/>
      <c r="M271" s="194"/>
    </row>
    <row r="272" spans="1:13" ht="15" hidden="1">
      <c r="A272" s="121" t="s">
        <v>7</v>
      </c>
      <c r="B272" s="118"/>
      <c r="C272" s="115"/>
      <c r="D272" s="194"/>
      <c r="E272" s="194"/>
      <c r="F272" s="194"/>
      <c r="G272" s="195"/>
      <c r="H272" s="196"/>
      <c r="I272" s="197"/>
      <c r="J272" s="194"/>
      <c r="K272" s="194"/>
      <c r="L272" s="194"/>
      <c r="M272" s="194"/>
    </row>
    <row r="273" spans="1:13" ht="12.75" hidden="1">
      <c r="A273" s="123" t="s">
        <v>8</v>
      </c>
      <c r="B273" s="118"/>
      <c r="C273" s="194"/>
      <c r="D273" s="194"/>
      <c r="E273" s="194"/>
      <c r="F273" s="194"/>
      <c r="G273" s="195"/>
      <c r="H273" s="196" t="s">
        <v>100</v>
      </c>
      <c r="I273" s="198">
        <f>C269</f>
        <v>0</v>
      </c>
      <c r="J273" s="194"/>
      <c r="K273" s="194"/>
      <c r="L273" s="194"/>
      <c r="M273" s="194"/>
    </row>
    <row r="274" spans="1:13" ht="15" hidden="1" thickBot="1">
      <c r="A274" s="199" t="s">
        <v>96</v>
      </c>
      <c r="B274" s="126" t="s">
        <v>97</v>
      </c>
      <c r="C274" s="127"/>
      <c r="D274" s="200">
        <f>D269</f>
        <v>0</v>
      </c>
      <c r="E274" s="200">
        <f aca="true" t="shared" si="75" ref="E274:M274">E269</f>
        <v>6300</v>
      </c>
      <c r="F274" s="200">
        <f t="shared" si="75"/>
        <v>6300</v>
      </c>
      <c r="G274" s="200">
        <f t="shared" si="75"/>
        <v>20600</v>
      </c>
      <c r="H274" s="200" t="str">
        <f t="shared" si="75"/>
        <v>TOTAL 87</v>
      </c>
      <c r="I274" s="200">
        <f t="shared" si="75"/>
        <v>0</v>
      </c>
      <c r="J274" s="200">
        <f t="shared" si="75"/>
        <v>0</v>
      </c>
      <c r="K274" s="200">
        <f t="shared" si="75"/>
        <v>0</v>
      </c>
      <c r="L274" s="200">
        <f t="shared" si="75"/>
        <v>0</v>
      </c>
      <c r="M274" s="200">
        <f t="shared" si="75"/>
        <v>0</v>
      </c>
    </row>
    <row r="275" spans="1:13" ht="14.25" hidden="1">
      <c r="A275" s="121" t="s">
        <v>7</v>
      </c>
      <c r="B275" s="126"/>
      <c r="C275" s="127"/>
      <c r="D275" s="200"/>
      <c r="E275" s="200"/>
      <c r="F275" s="200"/>
      <c r="G275" s="200"/>
      <c r="H275" s="200"/>
      <c r="I275" s="200"/>
      <c r="J275" s="200">
        <f>J272</f>
        <v>0</v>
      </c>
      <c r="K275" s="200">
        <f>K272</f>
        <v>0</v>
      </c>
      <c r="L275" s="200">
        <f>L272</f>
        <v>0</v>
      </c>
      <c r="M275" s="200"/>
    </row>
    <row r="276" ht="13.5" thickBot="1"/>
    <row r="277" spans="1:14" ht="34.5" thickBot="1">
      <c r="A277" s="463" t="s">
        <v>156</v>
      </c>
      <c r="B277" s="464"/>
      <c r="C277" s="429" t="s">
        <v>146</v>
      </c>
      <c r="D277" s="429" t="s">
        <v>147</v>
      </c>
      <c r="E277" s="430"/>
      <c r="F277" s="430"/>
      <c r="G277" s="430"/>
      <c r="H277" s="430"/>
      <c r="I277" s="430"/>
      <c r="J277" s="429" t="s">
        <v>148</v>
      </c>
      <c r="K277" s="429" t="s">
        <v>149</v>
      </c>
      <c r="L277" s="429" t="s">
        <v>150</v>
      </c>
      <c r="M277" s="431" t="s">
        <v>151</v>
      </c>
      <c r="N277" s="432" t="s">
        <v>227</v>
      </c>
    </row>
    <row r="278" spans="1:14" ht="19.5" customHeight="1">
      <c r="A278" s="465" t="s">
        <v>140</v>
      </c>
      <c r="B278" s="466"/>
      <c r="C278" s="201">
        <f>C11+C26+C46+C65+C88+C109+C157</f>
        <v>74484000</v>
      </c>
      <c r="D278" s="201">
        <f aca="true" t="shared" si="76" ref="D278:M278">D157+D109+D88+D65+D46+D26+D11</f>
        <v>66021000</v>
      </c>
      <c r="E278" s="201">
        <f t="shared" si="76"/>
        <v>0</v>
      </c>
      <c r="F278" s="201">
        <f t="shared" si="76"/>
        <v>0</v>
      </c>
      <c r="G278" s="201">
        <f t="shared" si="76"/>
        <v>0</v>
      </c>
      <c r="H278" s="201">
        <f t="shared" si="76"/>
        <v>0</v>
      </c>
      <c r="I278" s="201">
        <f t="shared" si="76"/>
        <v>0</v>
      </c>
      <c r="J278" s="201">
        <f t="shared" si="76"/>
        <v>69760977</v>
      </c>
      <c r="K278" s="201">
        <f t="shared" si="76"/>
        <v>69760977</v>
      </c>
      <c r="L278" s="201">
        <f t="shared" si="76"/>
        <v>56182087</v>
      </c>
      <c r="M278" s="202">
        <f t="shared" si="76"/>
        <v>13578890</v>
      </c>
      <c r="N278" s="433">
        <f>L278/C278</f>
        <v>0.7542839670264755</v>
      </c>
    </row>
    <row r="279" spans="1:14" ht="19.5" customHeight="1">
      <c r="A279" s="459" t="s">
        <v>141</v>
      </c>
      <c r="B279" s="460"/>
      <c r="C279" s="204">
        <f>C246+C231+C216+C195+C194+C161+C114+C91+C66+C47+C43+C27+C12</f>
        <v>110014190</v>
      </c>
      <c r="D279" s="204">
        <f aca="true" t="shared" si="77" ref="D279:M279">D246+D231+D216+D193+D161+D114+D91+D66+D47+D43+D27+D12</f>
        <v>96857806</v>
      </c>
      <c r="E279" s="204">
        <f t="shared" si="77"/>
        <v>0</v>
      </c>
      <c r="F279" s="204">
        <f t="shared" si="77"/>
        <v>0</v>
      </c>
      <c r="G279" s="204">
        <f t="shared" si="77"/>
        <v>0</v>
      </c>
      <c r="H279" s="204">
        <f t="shared" si="77"/>
        <v>0</v>
      </c>
      <c r="I279" s="204">
        <f t="shared" si="77"/>
        <v>0</v>
      </c>
      <c r="J279" s="204">
        <f t="shared" si="77"/>
        <v>92366630</v>
      </c>
      <c r="K279" s="204">
        <f t="shared" si="77"/>
        <v>92366630</v>
      </c>
      <c r="L279" s="204">
        <f t="shared" si="77"/>
        <v>73256323</v>
      </c>
      <c r="M279" s="205">
        <f t="shared" si="77"/>
        <v>19110307</v>
      </c>
      <c r="N279" s="433">
        <f aca="true" t="shared" si="78" ref="N279:N288">L279/C279</f>
        <v>0.6658806741203112</v>
      </c>
    </row>
    <row r="280" spans="1:14" ht="19.5" customHeight="1">
      <c r="A280" s="467" t="s">
        <v>285</v>
      </c>
      <c r="B280" s="460"/>
      <c r="C280" s="204">
        <f>C42</f>
        <v>4100000</v>
      </c>
      <c r="D280" s="204">
        <f aca="true" t="shared" si="79" ref="D280:M280">D42</f>
        <v>3790000</v>
      </c>
      <c r="E280" s="204">
        <f t="shared" si="79"/>
        <v>0</v>
      </c>
      <c r="F280" s="204">
        <f t="shared" si="79"/>
        <v>0</v>
      </c>
      <c r="G280" s="204">
        <f t="shared" si="79"/>
        <v>0</v>
      </c>
      <c r="H280" s="204">
        <f t="shared" si="79"/>
        <v>0</v>
      </c>
      <c r="I280" s="204">
        <f t="shared" si="79"/>
        <v>0</v>
      </c>
      <c r="J280" s="204">
        <f t="shared" si="79"/>
        <v>4100000</v>
      </c>
      <c r="K280" s="204">
        <f t="shared" si="79"/>
        <v>4100000</v>
      </c>
      <c r="L280" s="204">
        <f t="shared" si="79"/>
        <v>2666843</v>
      </c>
      <c r="M280" s="205">
        <f t="shared" si="79"/>
        <v>1433157</v>
      </c>
      <c r="N280" s="433">
        <f t="shared" si="78"/>
        <v>0.6504495121951219</v>
      </c>
    </row>
    <row r="281" spans="1:14" ht="19.5" customHeight="1">
      <c r="A281" s="459" t="s">
        <v>1</v>
      </c>
      <c r="B281" s="460"/>
      <c r="C281" s="204">
        <f>C248</f>
        <v>22000000</v>
      </c>
      <c r="D281" s="204">
        <f aca="true" t="shared" si="80" ref="D281:M281">D248</f>
        <v>17000000</v>
      </c>
      <c r="E281" s="204">
        <f t="shared" si="80"/>
        <v>0</v>
      </c>
      <c r="F281" s="204">
        <f t="shared" si="80"/>
        <v>0</v>
      </c>
      <c r="G281" s="204">
        <f t="shared" si="80"/>
        <v>0</v>
      </c>
      <c r="H281" s="204">
        <f t="shared" si="80"/>
        <v>0</v>
      </c>
      <c r="I281" s="204">
        <f t="shared" si="80"/>
        <v>0</v>
      </c>
      <c r="J281" s="204">
        <f t="shared" si="80"/>
        <v>22000000</v>
      </c>
      <c r="K281" s="204">
        <f t="shared" si="80"/>
        <v>22000000</v>
      </c>
      <c r="L281" s="204">
        <f t="shared" si="80"/>
        <v>14621601</v>
      </c>
      <c r="M281" s="205">
        <f t="shared" si="80"/>
        <v>7378399</v>
      </c>
      <c r="N281" s="433">
        <f t="shared" si="78"/>
        <v>0.6646182272727272</v>
      </c>
    </row>
    <row r="282" spans="1:14" ht="19.5" customHeight="1">
      <c r="A282" s="468" t="s">
        <v>208</v>
      </c>
      <c r="B282" s="469"/>
      <c r="C282" s="204">
        <f>C28</f>
        <v>0</v>
      </c>
      <c r="D282" s="204">
        <f aca="true" t="shared" si="81" ref="D282:M282">D28</f>
        <v>0</v>
      </c>
      <c r="E282" s="204">
        <f t="shared" si="81"/>
        <v>0</v>
      </c>
      <c r="F282" s="204">
        <f t="shared" si="81"/>
        <v>0</v>
      </c>
      <c r="G282" s="204">
        <f t="shared" si="81"/>
        <v>0</v>
      </c>
      <c r="H282" s="204">
        <f t="shared" si="81"/>
        <v>0</v>
      </c>
      <c r="I282" s="204">
        <f t="shared" si="81"/>
        <v>0</v>
      </c>
      <c r="J282" s="204">
        <f t="shared" si="81"/>
        <v>0</v>
      </c>
      <c r="K282" s="204">
        <f t="shared" si="81"/>
        <v>0</v>
      </c>
      <c r="L282" s="204">
        <f t="shared" si="81"/>
        <v>0</v>
      </c>
      <c r="M282" s="205">
        <f t="shared" si="81"/>
        <v>0</v>
      </c>
      <c r="N282" s="433"/>
    </row>
    <row r="283" spans="1:14" ht="19.5" customHeight="1">
      <c r="A283" s="459" t="s">
        <v>139</v>
      </c>
      <c r="B283" s="460"/>
      <c r="C283" s="204">
        <f>C198+C167+C125+C16+C15</f>
        <v>30544308</v>
      </c>
      <c r="D283" s="204">
        <f aca="true" t="shared" si="82" ref="D283:M283">D198+D167+D125+D16+D15</f>
        <v>28954308</v>
      </c>
      <c r="E283" s="204">
        <f t="shared" si="82"/>
        <v>0</v>
      </c>
      <c r="F283" s="204">
        <f t="shared" si="82"/>
        <v>0</v>
      </c>
      <c r="G283" s="204">
        <f t="shared" si="82"/>
        <v>0</v>
      </c>
      <c r="H283" s="204">
        <f t="shared" si="82"/>
        <v>0</v>
      </c>
      <c r="I283" s="204">
        <f t="shared" si="82"/>
        <v>0</v>
      </c>
      <c r="J283" s="204">
        <f t="shared" si="82"/>
        <v>30544308</v>
      </c>
      <c r="K283" s="204">
        <f t="shared" si="82"/>
        <v>30544308</v>
      </c>
      <c r="L283" s="204">
        <f t="shared" si="82"/>
        <v>28949308</v>
      </c>
      <c r="M283" s="204">
        <f t="shared" si="82"/>
        <v>1595000</v>
      </c>
      <c r="N283" s="433">
        <f t="shared" si="78"/>
        <v>0.9477807780094413</v>
      </c>
    </row>
    <row r="284" spans="1:14" ht="19.5" customHeight="1">
      <c r="A284" s="459" t="s">
        <v>2</v>
      </c>
      <c r="B284" s="460"/>
      <c r="C284" s="204">
        <f>C70</f>
        <v>883000</v>
      </c>
      <c r="D284" s="204">
        <f aca="true" t="shared" si="83" ref="D284:M284">D70</f>
        <v>701000</v>
      </c>
      <c r="E284" s="204">
        <f t="shared" si="83"/>
        <v>0</v>
      </c>
      <c r="F284" s="204">
        <f t="shared" si="83"/>
        <v>0</v>
      </c>
      <c r="G284" s="204">
        <f t="shared" si="83"/>
        <v>0</v>
      </c>
      <c r="H284" s="204">
        <f t="shared" si="83"/>
        <v>0</v>
      </c>
      <c r="I284" s="204">
        <f t="shared" si="83"/>
        <v>0</v>
      </c>
      <c r="J284" s="204">
        <f t="shared" si="83"/>
        <v>880710</v>
      </c>
      <c r="K284" s="204">
        <f t="shared" si="83"/>
        <v>880710</v>
      </c>
      <c r="L284" s="204">
        <f t="shared" si="83"/>
        <v>699710</v>
      </c>
      <c r="M284" s="205">
        <f t="shared" si="83"/>
        <v>181000</v>
      </c>
      <c r="N284" s="433">
        <f t="shared" si="78"/>
        <v>0.7924235560588901</v>
      </c>
    </row>
    <row r="285" spans="1:14" ht="19.5" customHeight="1">
      <c r="A285" s="459" t="s">
        <v>3</v>
      </c>
      <c r="B285" s="460"/>
      <c r="C285" s="204">
        <f>C170+C71</f>
        <v>27898000</v>
      </c>
      <c r="D285" s="204">
        <f aca="true" t="shared" si="84" ref="D285:M285">D170+D71</f>
        <v>24412000</v>
      </c>
      <c r="E285" s="204">
        <f t="shared" si="84"/>
        <v>0</v>
      </c>
      <c r="F285" s="204">
        <f t="shared" si="84"/>
        <v>0</v>
      </c>
      <c r="G285" s="204">
        <f t="shared" si="84"/>
        <v>0</v>
      </c>
      <c r="H285" s="204">
        <f t="shared" si="84"/>
        <v>0</v>
      </c>
      <c r="I285" s="204">
        <f t="shared" si="84"/>
        <v>0</v>
      </c>
      <c r="J285" s="204">
        <f t="shared" si="84"/>
        <v>22259433</v>
      </c>
      <c r="K285" s="204">
        <f t="shared" si="84"/>
        <v>22259433</v>
      </c>
      <c r="L285" s="204">
        <f t="shared" si="84"/>
        <v>22259433</v>
      </c>
      <c r="M285" s="205">
        <f t="shared" si="84"/>
        <v>0</v>
      </c>
      <c r="N285" s="433">
        <f t="shared" si="78"/>
        <v>0.79788633593806</v>
      </c>
    </row>
    <row r="286" spans="1:16" ht="19.5" customHeight="1">
      <c r="A286" s="459" t="s">
        <v>4</v>
      </c>
      <c r="B286" s="460"/>
      <c r="C286" s="204">
        <f>C175+C134+C100+C72+C33+C18</f>
        <v>12928000</v>
      </c>
      <c r="D286" s="204">
        <f aca="true" t="shared" si="85" ref="D286:M286">D175+D134+D72+D33+D18+D100</f>
        <v>9241000</v>
      </c>
      <c r="E286" s="204">
        <f t="shared" si="85"/>
        <v>300000</v>
      </c>
      <c r="F286" s="204">
        <f t="shared" si="85"/>
        <v>300000</v>
      </c>
      <c r="G286" s="204">
        <f t="shared" si="85"/>
        <v>300000</v>
      </c>
      <c r="H286" s="204">
        <f t="shared" si="85"/>
        <v>300000</v>
      </c>
      <c r="I286" s="204">
        <f t="shared" si="85"/>
        <v>300000</v>
      </c>
      <c r="J286" s="204">
        <f t="shared" si="85"/>
        <v>7072422</v>
      </c>
      <c r="K286" s="204">
        <f t="shared" si="85"/>
        <v>7072422</v>
      </c>
      <c r="L286" s="204">
        <f t="shared" si="85"/>
        <v>7030333</v>
      </c>
      <c r="M286" s="205">
        <f t="shared" si="85"/>
        <v>42089</v>
      </c>
      <c r="N286" s="433">
        <f t="shared" si="78"/>
        <v>0.5438066986386139</v>
      </c>
      <c r="P286" s="188"/>
    </row>
    <row r="287" spans="1:16" ht="19.5" customHeight="1" hidden="1">
      <c r="A287" s="459" t="s">
        <v>5</v>
      </c>
      <c r="B287" s="460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5"/>
      <c r="N287" s="433" t="e">
        <f t="shared" si="78"/>
        <v>#DIV/0!</v>
      </c>
      <c r="P287" s="188"/>
    </row>
    <row r="288" spans="1:19" ht="19.5" customHeight="1">
      <c r="A288" s="459" t="s">
        <v>6</v>
      </c>
      <c r="B288" s="460"/>
      <c r="C288" s="204">
        <f>C254+C205</f>
        <v>6692000</v>
      </c>
      <c r="D288" s="204">
        <f aca="true" t="shared" si="86" ref="D288:M288">D254+D205</f>
        <v>4897000</v>
      </c>
      <c r="E288" s="204">
        <f t="shared" si="86"/>
        <v>0</v>
      </c>
      <c r="F288" s="204">
        <f t="shared" si="86"/>
        <v>0</v>
      </c>
      <c r="G288" s="204">
        <f t="shared" si="86"/>
        <v>0</v>
      </c>
      <c r="H288" s="204">
        <f t="shared" si="86"/>
        <v>0</v>
      </c>
      <c r="I288" s="204">
        <f t="shared" si="86"/>
        <v>0</v>
      </c>
      <c r="J288" s="204">
        <f t="shared" si="86"/>
        <v>6680000</v>
      </c>
      <c r="K288" s="204">
        <f t="shared" si="86"/>
        <v>6680000</v>
      </c>
      <c r="L288" s="204">
        <f t="shared" si="86"/>
        <v>4173000</v>
      </c>
      <c r="M288" s="205">
        <f t="shared" si="86"/>
        <v>2507000</v>
      </c>
      <c r="N288" s="433">
        <f t="shared" si="78"/>
        <v>0.6235803945008966</v>
      </c>
      <c r="P288" s="188"/>
      <c r="Q288" s="188"/>
      <c r="R288" s="188"/>
      <c r="S288" s="188"/>
    </row>
    <row r="289" spans="1:14" ht="19.5" customHeight="1" thickBot="1">
      <c r="A289" s="455" t="s">
        <v>7</v>
      </c>
      <c r="B289" s="456"/>
      <c r="C289" s="434">
        <f>C255+C240+C225+C207+C206+C183+C182+C139+C103+C75+C58+C44+C36+C21</f>
        <v>-6913234</v>
      </c>
      <c r="D289" s="434">
        <f aca="true" t="shared" si="87" ref="D289:L289">D255+D240+D225+D207+D206+D183+D182+D139+D103+D75+D58+D44+D36+D21</f>
        <v>-6913234</v>
      </c>
      <c r="E289" s="434">
        <f t="shared" si="87"/>
        <v>-92158</v>
      </c>
      <c r="F289" s="434">
        <f t="shared" si="87"/>
        <v>-92158</v>
      </c>
      <c r="G289" s="434">
        <f t="shared" si="87"/>
        <v>-92158</v>
      </c>
      <c r="H289" s="434">
        <f t="shared" si="87"/>
        <v>-92158</v>
      </c>
      <c r="I289" s="434">
        <f t="shared" si="87"/>
        <v>-92158</v>
      </c>
      <c r="J289" s="434">
        <f t="shared" si="87"/>
        <v>-6922680</v>
      </c>
      <c r="K289" s="434">
        <f t="shared" si="87"/>
        <v>-6922680</v>
      </c>
      <c r="L289" s="434">
        <f t="shared" si="87"/>
        <v>-6922680</v>
      </c>
      <c r="M289" s="435">
        <f>M272+M255+M240+M225+M206+M182+M139+M103+M75+M58+M36+M21</f>
        <v>0</v>
      </c>
      <c r="N289" s="436"/>
    </row>
    <row r="290" ht="13.5" thickBot="1">
      <c r="N290" s="237"/>
    </row>
    <row r="291" spans="1:14" ht="30" customHeight="1" thickBot="1">
      <c r="A291" s="457" t="s">
        <v>138</v>
      </c>
      <c r="B291" s="458"/>
      <c r="C291" s="323">
        <f>C278+C279+C280+C281+C283+C284+C285+C286+C287+C288+C289+C282</f>
        <v>282630264</v>
      </c>
      <c r="D291" s="323">
        <f aca="true" t="shared" si="88" ref="D291:L291">D278+D279+D280+D281+D283+D284+D285+D286+D287+D288+D289+D282</f>
        <v>244960880</v>
      </c>
      <c r="E291" s="323">
        <f t="shared" si="88"/>
        <v>254009642</v>
      </c>
      <c r="F291" s="323">
        <f t="shared" si="88"/>
        <v>254009642</v>
      </c>
      <c r="G291" s="323">
        <f t="shared" si="88"/>
        <v>254009642</v>
      </c>
      <c r="H291" s="323">
        <f t="shared" si="88"/>
        <v>254009642</v>
      </c>
      <c r="I291" s="323">
        <f t="shared" si="88"/>
        <v>254009642</v>
      </c>
      <c r="J291" s="323">
        <f t="shared" si="88"/>
        <v>248741800</v>
      </c>
      <c r="K291" s="323">
        <f t="shared" si="88"/>
        <v>248741800</v>
      </c>
      <c r="L291" s="323">
        <f t="shared" si="88"/>
        <v>202915958</v>
      </c>
      <c r="M291" s="323">
        <f>M278+M279+M280+M281+M283+M284+M285+M286+M287+M288+M289+M282</f>
        <v>45825842</v>
      </c>
      <c r="N291" s="324">
        <f>L291/C291</f>
        <v>0.7179555194414707</v>
      </c>
    </row>
    <row r="293" ht="12.75">
      <c r="A293" s="206" t="s">
        <v>159</v>
      </c>
    </row>
    <row r="294" spans="1:11" ht="12.75">
      <c r="A294" s="207" t="s">
        <v>183</v>
      </c>
      <c r="C294" s="208" t="s">
        <v>160</v>
      </c>
      <c r="D294" s="208"/>
      <c r="E294" s="208"/>
      <c r="F294" s="208"/>
      <c r="G294" s="208"/>
      <c r="H294" s="208"/>
      <c r="I294" s="208"/>
      <c r="J294" s="208"/>
      <c r="K294" s="208" t="s">
        <v>218</v>
      </c>
    </row>
    <row r="295" spans="1:16" ht="12.75">
      <c r="A295" s="209" t="s">
        <v>215</v>
      </c>
      <c r="C295" s="110" t="s">
        <v>161</v>
      </c>
      <c r="K295" s="110" t="s">
        <v>214</v>
      </c>
      <c r="P295" s="188"/>
    </row>
    <row r="298" spans="2:13" ht="12.75" hidden="1">
      <c r="B298" s="453" t="s">
        <v>200</v>
      </c>
      <c r="C298" s="210">
        <f>C258+C257+C242+C227+C212+C211+C210+C189+C188+C187+C186+C185+C152+C150+C149+C145+C143+C106+C84+C83+C82+C81+C80+C79+C78+C61+C60+C43+C42+C39+C23</f>
        <v>287744400</v>
      </c>
      <c r="D298" s="210">
        <f aca="true" t="shared" si="89" ref="D298:I298">D258+D257+D242+D227+D212+D211+D210+D189+D188+D187+D186+D185+D152+D150+D149+D145+D143+D106+D84+D83+D82+D81+D80+D79+D78+D61+D60+D43+D42+D39+D23</f>
        <v>250141016</v>
      </c>
      <c r="E298" s="210">
        <f t="shared" si="89"/>
        <v>0</v>
      </c>
      <c r="F298" s="210">
        <f t="shared" si="89"/>
        <v>0</v>
      </c>
      <c r="G298" s="210">
        <f t="shared" si="89"/>
        <v>0</v>
      </c>
      <c r="H298" s="210" t="e">
        <f t="shared" si="89"/>
        <v>#VALUE!</v>
      </c>
      <c r="I298" s="210">
        <f t="shared" si="89"/>
        <v>0</v>
      </c>
      <c r="J298" s="210">
        <f>J260+J258+J257+J243+J242+J227+J213+J190+J212+J211+J210+J189+J188+J187+J186+J185+J155+J152+J150+J149+J145+J143+J106+J84+J83+J82+J81+J80+J79+J78+J63+J61+J60+J42+J39+J24+J23</f>
        <v>247475124</v>
      </c>
      <c r="K298" s="210">
        <f>K260+K258+K257+K243+K242+K227+K213+K190+K212+K211+K210+K189+K188+K187+K186+K185+K155+K152+K150+K149+K145+K143+K106+K84+K83+K82+K81+K80+K79+K78+K63+K61+K60+K42+K39+K24+K23</f>
        <v>247475124</v>
      </c>
      <c r="L298" s="210">
        <f>L260+L258+L257+L243+L242+L227+L213+L190+L212+L211+L210+L189+L188+L187+L186+L185+L155+L152+L150+L149+L145+L143+L106+L84+L83+L82+L81+L80+L79+L78+L63+L61+L60+L42+L39+L24+L23</f>
        <v>201804376</v>
      </c>
      <c r="M298" s="210">
        <f>M260+M258+M257+M243+M242+M227+M213+M190+M212+M211+M210+M189+M188+M187+M186+M185+M155+M152+M150+M149+M145+M143+M106+M84+M83+M82+M81+M80+M79+M78+M63+M61+M60+M42+M39+M24+M23</f>
        <v>44665748</v>
      </c>
    </row>
    <row r="299" ht="12.75" hidden="1">
      <c r="B299" s="454"/>
    </row>
    <row r="300" spans="2:15" ht="12.75" hidden="1">
      <c r="B300" s="110" t="s">
        <v>205</v>
      </c>
      <c r="C300" s="188">
        <f>C291-C298</f>
        <v>-5114136</v>
      </c>
      <c r="D300" s="188">
        <f aca="true" t="shared" si="90" ref="D300:M300">D291-D298</f>
        <v>-5180136</v>
      </c>
      <c r="E300" s="188">
        <f t="shared" si="90"/>
        <v>0</v>
      </c>
      <c r="F300" s="188">
        <f t="shared" si="90"/>
        <v>0</v>
      </c>
      <c r="G300" s="188">
        <f t="shared" si="90"/>
        <v>0</v>
      </c>
      <c r="H300" s="188">
        <f t="shared" si="90"/>
        <v>0</v>
      </c>
      <c r="I300" s="188">
        <f t="shared" si="90"/>
        <v>0</v>
      </c>
      <c r="J300" s="188">
        <f t="shared" si="90"/>
        <v>1266676</v>
      </c>
      <c r="K300" s="188">
        <f t="shared" si="90"/>
        <v>1266676</v>
      </c>
      <c r="L300" s="188">
        <f t="shared" si="90"/>
        <v>1111582</v>
      </c>
      <c r="M300" s="188">
        <f t="shared" si="90"/>
        <v>1160094</v>
      </c>
      <c r="O300" s="188"/>
    </row>
    <row r="302" spans="1:10" ht="12.75">
      <c r="A302" s="410"/>
      <c r="B302"/>
      <c r="C302" s="7"/>
      <c r="D302" s="411"/>
      <c r="E302"/>
      <c r="F302"/>
      <c r="G302"/>
      <c r="H302"/>
      <c r="I302" s="411" t="s">
        <v>257</v>
      </c>
      <c r="J302"/>
    </row>
    <row r="303" spans="5:9" ht="12.75" hidden="1">
      <c r="E303" s="472" t="s">
        <v>109</v>
      </c>
      <c r="F303" s="473"/>
      <c r="G303" s="474"/>
      <c r="H303" s="478">
        <f>I274+I259+I242+I227++I212+I189+I154+I106+I81+I62+I43+I39+I23</f>
        <v>70277000</v>
      </c>
      <c r="I303" s="479"/>
    </row>
    <row r="304" spans="5:9" ht="13.5" hidden="1" thickBot="1">
      <c r="E304" s="475"/>
      <c r="F304" s="476"/>
      <c r="G304" s="477"/>
      <c r="H304" s="480"/>
      <c r="I304" s="481"/>
    </row>
    <row r="305" ht="12.75" hidden="1"/>
    <row r="306" spans="1:2" ht="16.5" hidden="1" thickBot="1">
      <c r="A306" s="203" t="s">
        <v>138</v>
      </c>
      <c r="B306" s="211">
        <f>I274+I259+I242+I227+I212+I189+I154+I106+I81+I62+I43+I39+I23</f>
        <v>70277000</v>
      </c>
    </row>
    <row r="307" spans="1:6" ht="18" hidden="1">
      <c r="A307" s="212" t="s">
        <v>130</v>
      </c>
      <c r="B307" s="213" t="s">
        <v>131</v>
      </c>
      <c r="C307" s="213" t="s">
        <v>132</v>
      </c>
      <c r="D307" s="213" t="s">
        <v>133</v>
      </c>
      <c r="E307" s="213" t="s">
        <v>134</v>
      </c>
      <c r="F307" s="214" t="s">
        <v>135</v>
      </c>
    </row>
    <row r="308" spans="1:6" ht="15.75" hidden="1">
      <c r="A308" s="215" t="s">
        <v>140</v>
      </c>
      <c r="B308" s="211">
        <f>C308+D308+E308+F308</f>
        <v>66021000</v>
      </c>
      <c r="C308" s="216">
        <f>D157+D88+D65+D46+D26+D11</f>
        <v>66021000</v>
      </c>
      <c r="D308" s="216">
        <f>E157+E88+E65+E46+E26+E11</f>
        <v>0</v>
      </c>
      <c r="E308" s="216">
        <f>F157+F88+F65+F46+F26+F11</f>
        <v>0</v>
      </c>
      <c r="F308" s="217">
        <f>G157+G88+G65+G46+G26+G11</f>
        <v>0</v>
      </c>
    </row>
    <row r="309" spans="1:6" ht="15.75" hidden="1">
      <c r="A309" s="215" t="s">
        <v>153</v>
      </c>
      <c r="B309" s="211">
        <f aca="true" t="shared" si="91" ref="B309:B318">C309+D309+E309+F309</f>
        <v>96857806</v>
      </c>
      <c r="C309" s="216">
        <f>D246+D231+D216+D193+D161+D114+D91+D66+D47+D43+D27+D12</f>
        <v>96857806</v>
      </c>
      <c r="D309" s="216">
        <f>E246+E231+E216+E193+E161+E114+E91+E66+E47+E43+E27+E12</f>
        <v>0</v>
      </c>
      <c r="E309" s="216">
        <f>F246+F231+F216+F193+F161+F114+F91+F66+F47+F43+F27+F12</f>
        <v>0</v>
      </c>
      <c r="F309" s="217">
        <f>G246+G231+G216+G193+G161+G114+G91+G66+G47+G43+G27+G12</f>
        <v>0</v>
      </c>
    </row>
    <row r="310" spans="1:6" ht="15.75" hidden="1">
      <c r="A310" s="215" t="s">
        <v>0</v>
      </c>
      <c r="B310" s="211">
        <f t="shared" si="91"/>
        <v>3790000</v>
      </c>
      <c r="C310" s="216">
        <f>D42</f>
        <v>3790000</v>
      </c>
      <c r="D310" s="216">
        <f>E42</f>
        <v>0</v>
      </c>
      <c r="E310" s="216">
        <f>F42</f>
        <v>0</v>
      </c>
      <c r="F310" s="217">
        <f>G42</f>
        <v>0</v>
      </c>
    </row>
    <row r="311" spans="1:6" ht="15.75" hidden="1">
      <c r="A311" s="215" t="s">
        <v>1</v>
      </c>
      <c r="B311" s="211">
        <f t="shared" si="91"/>
        <v>17000000</v>
      </c>
      <c r="C311" s="216">
        <f>D248</f>
        <v>17000000</v>
      </c>
      <c r="D311" s="216">
        <f>E248</f>
        <v>0</v>
      </c>
      <c r="E311" s="216">
        <f>F248</f>
        <v>0</v>
      </c>
      <c r="F311" s="217">
        <f>G248</f>
        <v>0</v>
      </c>
    </row>
    <row r="312" spans="1:6" ht="15.75" hidden="1">
      <c r="A312" s="215" t="s">
        <v>139</v>
      </c>
      <c r="B312" s="211">
        <f t="shared" si="91"/>
        <v>28899308</v>
      </c>
      <c r="C312" s="216">
        <f>D198+D167+D125</f>
        <v>28899308</v>
      </c>
      <c r="D312" s="216">
        <f>E198+E167+E125</f>
        <v>0</v>
      </c>
      <c r="E312" s="216">
        <f>F198+F167+F125</f>
        <v>0</v>
      </c>
      <c r="F312" s="217">
        <f>G198+G167+G125</f>
        <v>0</v>
      </c>
    </row>
    <row r="313" spans="1:6" ht="15.75" hidden="1">
      <c r="A313" s="215" t="s">
        <v>2</v>
      </c>
      <c r="B313" s="211">
        <f t="shared" si="91"/>
        <v>0</v>
      </c>
      <c r="C313" s="218"/>
      <c r="D313" s="218"/>
      <c r="E313" s="218"/>
      <c r="F313" s="219"/>
    </row>
    <row r="314" spans="1:6" ht="15.75" hidden="1">
      <c r="A314" s="215" t="s">
        <v>3</v>
      </c>
      <c r="B314" s="211">
        <f t="shared" si="91"/>
        <v>24412000</v>
      </c>
      <c r="C314" s="216">
        <f>D170+D71</f>
        <v>24412000</v>
      </c>
      <c r="D314" s="216">
        <f>E170+E71</f>
        <v>0</v>
      </c>
      <c r="E314" s="216">
        <f>F170+F71</f>
        <v>0</v>
      </c>
      <c r="F314" s="217">
        <f>G170+G71</f>
        <v>0</v>
      </c>
    </row>
    <row r="315" spans="1:6" ht="15.75" hidden="1">
      <c r="A315" s="215" t="s">
        <v>4</v>
      </c>
      <c r="B315" s="211">
        <f t="shared" si="91"/>
        <v>10127200</v>
      </c>
      <c r="C315" s="216">
        <f>D269+D203+D175+D134+D72</f>
        <v>9194000</v>
      </c>
      <c r="D315" s="216">
        <f>E269+E203+E175+E134+E72</f>
        <v>306300</v>
      </c>
      <c r="E315" s="216">
        <f>F269+F203+F175+F134+F72</f>
        <v>306300</v>
      </c>
      <c r="F315" s="217">
        <f>G269+G203+G175+G134+G72</f>
        <v>320600</v>
      </c>
    </row>
    <row r="316" spans="1:6" ht="15.75" hidden="1">
      <c r="A316" s="215" t="s">
        <v>5</v>
      </c>
      <c r="B316" s="211">
        <f t="shared" si="91"/>
        <v>0</v>
      </c>
      <c r="C316" s="218"/>
      <c r="D316" s="218"/>
      <c r="E316" s="218"/>
      <c r="F316" s="219"/>
    </row>
    <row r="317" spans="1:6" ht="15.75" hidden="1">
      <c r="A317" s="215" t="s">
        <v>6</v>
      </c>
      <c r="B317" s="211">
        <f t="shared" si="91"/>
        <v>4897000</v>
      </c>
      <c r="C317" s="216">
        <f>D254+D205</f>
        <v>4897000</v>
      </c>
      <c r="D317" s="216">
        <f>E254+E205</f>
        <v>0</v>
      </c>
      <c r="E317" s="216">
        <f>F254+F205</f>
        <v>0</v>
      </c>
      <c r="F317" s="217">
        <f>G254+G205</f>
        <v>0</v>
      </c>
    </row>
    <row r="318" spans="1:6" ht="15.75" hidden="1">
      <c r="A318" s="215" t="s">
        <v>7</v>
      </c>
      <c r="B318" s="211">
        <f t="shared" si="91"/>
        <v>0</v>
      </c>
      <c r="C318" s="218"/>
      <c r="D318" s="218"/>
      <c r="E318" s="218"/>
      <c r="F318" s="219"/>
    </row>
    <row r="319" spans="1:6" ht="16.5" hidden="1" thickBot="1">
      <c r="A319" s="220" t="s">
        <v>136</v>
      </c>
      <c r="B319" s="221">
        <f>B308+B309+B310+B311+B312+B313+B314+B315+B316+B317+B318</f>
        <v>252004314</v>
      </c>
      <c r="C319" s="221">
        <f>C308+C309+C310+C311+C312+C313+C314+C315+C316+C317+C318</f>
        <v>251071114</v>
      </c>
      <c r="D319" s="221">
        <f>D308+D309+D310+D311+D312+D313+D314+D315+D316+D317+D318</f>
        <v>306300</v>
      </c>
      <c r="E319" s="221">
        <f>E308+E309+E310+E311+E312+E313+E314+E315+E316+E317+E318</f>
        <v>306300</v>
      </c>
      <c r="F319" s="222">
        <f>F308+F309+F310+F311+F312+F313+F314+F315+F316+F317+F318</f>
        <v>320600</v>
      </c>
    </row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</sheetData>
  <sheetProtection/>
  <mergeCells count="37">
    <mergeCell ref="L7:M7"/>
    <mergeCell ref="A3:M5"/>
    <mergeCell ref="B11:B18"/>
    <mergeCell ref="H152:I152"/>
    <mergeCell ref="H94:I94"/>
    <mergeCell ref="H231:I231"/>
    <mergeCell ref="H216:I216"/>
    <mergeCell ref="H210:I210"/>
    <mergeCell ref="H187:I187"/>
    <mergeCell ref="A6:M6"/>
    <mergeCell ref="E303:G304"/>
    <mergeCell ref="H303:I304"/>
    <mergeCell ref="H12:I12"/>
    <mergeCell ref="H27:I27"/>
    <mergeCell ref="H42:I42"/>
    <mergeCell ref="H60:I60"/>
    <mergeCell ref="H269:I269"/>
    <mergeCell ref="H257:I257"/>
    <mergeCell ref="A8:B8"/>
    <mergeCell ref="A281:B281"/>
    <mergeCell ref="A283:B283"/>
    <mergeCell ref="A284:B284"/>
    <mergeCell ref="A277:B277"/>
    <mergeCell ref="A278:B278"/>
    <mergeCell ref="A279:B279"/>
    <mergeCell ref="A280:B280"/>
    <mergeCell ref="A282:B282"/>
    <mergeCell ref="B26:B27"/>
    <mergeCell ref="A182:A183"/>
    <mergeCell ref="A206:A207"/>
    <mergeCell ref="B298:B299"/>
    <mergeCell ref="A289:B289"/>
    <mergeCell ref="A291:B291"/>
    <mergeCell ref="A285:B285"/>
    <mergeCell ref="A286:B286"/>
    <mergeCell ref="A287:B287"/>
    <mergeCell ref="A288:B288"/>
  </mergeCells>
  <printOptions/>
  <pageMargins left="0.56" right="0.17" top="0.49" bottom="1.32" header="0.61" footer="1.21"/>
  <pageSetup fitToHeight="5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86"/>
  <sheetViews>
    <sheetView workbookViewId="0" topLeftCell="A4">
      <selection activeCell="S144" sqref="S144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2.7109375" style="0" customWidth="1"/>
    <col min="11" max="11" width="11.57421875" style="0" customWidth="1"/>
    <col min="12" max="12" width="10.7109375" style="0" customWidth="1"/>
  </cols>
  <sheetData>
    <row r="1" ht="14.25">
      <c r="A1" s="37" t="s">
        <v>184</v>
      </c>
    </row>
    <row r="2" spans="1:11" ht="14.25">
      <c r="A2" s="37" t="s">
        <v>185</v>
      </c>
      <c r="I2" s="24" t="s">
        <v>259</v>
      </c>
      <c r="J2" s="24"/>
      <c r="K2" s="24"/>
    </row>
    <row r="3" spans="1:12" ht="14.25">
      <c r="A3" s="37"/>
      <c r="I3" s="23"/>
      <c r="J3" s="23"/>
      <c r="K3" s="23"/>
      <c r="L3" s="23"/>
    </row>
    <row r="4" spans="1:12" ht="24.75" customHeight="1">
      <c r="A4" s="550" t="s">
        <v>164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</row>
    <row r="5" spans="1:12" ht="24.75" customHeight="1">
      <c r="A5" s="550" t="s">
        <v>280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162</v>
      </c>
      <c r="L6" s="26"/>
    </row>
    <row r="7" spans="1:12" ht="34.5" customHeight="1">
      <c r="A7" s="553" t="s">
        <v>145</v>
      </c>
      <c r="B7" s="554"/>
      <c r="C7" s="56" t="s">
        <v>146</v>
      </c>
      <c r="D7" s="56" t="s">
        <v>147</v>
      </c>
      <c r="E7" s="57"/>
      <c r="F7" s="57"/>
      <c r="G7" s="57"/>
      <c r="H7" s="56" t="s">
        <v>148</v>
      </c>
      <c r="I7" s="56" t="s">
        <v>149</v>
      </c>
      <c r="J7" s="56" t="s">
        <v>150</v>
      </c>
      <c r="K7" s="58" t="s">
        <v>151</v>
      </c>
      <c r="L7" s="58" t="s">
        <v>229</v>
      </c>
    </row>
    <row r="8" spans="1:12" ht="12.75" customHeight="1" thickBot="1">
      <c r="A8" s="307"/>
      <c r="B8" s="308"/>
      <c r="C8" s="309">
        <v>1</v>
      </c>
      <c r="D8" s="309">
        <v>2</v>
      </c>
      <c r="E8" s="309"/>
      <c r="F8" s="309"/>
      <c r="G8" s="309"/>
      <c r="H8" s="309">
        <v>3</v>
      </c>
      <c r="I8" s="309">
        <v>4</v>
      </c>
      <c r="J8" s="309">
        <v>5</v>
      </c>
      <c r="K8" s="310" t="s">
        <v>154</v>
      </c>
      <c r="L8" s="311" t="s">
        <v>230</v>
      </c>
    </row>
    <row r="9" spans="1:12" ht="24.75" customHeight="1" thickBot="1">
      <c r="A9" s="49" t="s">
        <v>115</v>
      </c>
      <c r="B9" s="50" t="s">
        <v>152</v>
      </c>
      <c r="C9" s="51">
        <f>C10+C11+C12+C13+C14</f>
        <v>1481000</v>
      </c>
      <c r="D9" s="51">
        <f aca="true" t="shared" si="0" ref="D9:K9">D10+D11+D12+D13+D14</f>
        <v>1481000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1473442</v>
      </c>
      <c r="I9" s="51">
        <f t="shared" si="0"/>
        <v>1473442</v>
      </c>
      <c r="J9" s="51">
        <f t="shared" si="0"/>
        <v>1214971</v>
      </c>
      <c r="K9" s="52">
        <f t="shared" si="0"/>
        <v>258471</v>
      </c>
      <c r="L9" s="316">
        <f>J9/C9</f>
        <v>0.8203720459149223</v>
      </c>
    </row>
    <row r="10" spans="1:12" ht="12.75">
      <c r="A10" s="312" t="s">
        <v>167</v>
      </c>
      <c r="B10" s="43"/>
      <c r="C10" s="65">
        <f>D10+E10+F10+G10</f>
        <v>0</v>
      </c>
      <c r="D10" s="65"/>
      <c r="E10" s="65"/>
      <c r="F10" s="65"/>
      <c r="G10" s="313"/>
      <c r="H10" s="65"/>
      <c r="I10" s="65"/>
      <c r="J10" s="65"/>
      <c r="K10" s="314">
        <f>H10-J10</f>
        <v>0</v>
      </c>
      <c r="L10" s="315"/>
    </row>
    <row r="11" spans="1:12" ht="12.75">
      <c r="A11" s="1" t="s">
        <v>276</v>
      </c>
      <c r="B11" s="43"/>
      <c r="C11" s="10">
        <f>D11+E11+F11+G11</f>
        <v>675000</v>
      </c>
      <c r="D11" s="10">
        <v>675000</v>
      </c>
      <c r="E11" s="10"/>
      <c r="F11" s="10"/>
      <c r="G11" s="80"/>
      <c r="H11" s="10">
        <v>674241</v>
      </c>
      <c r="I11" s="10">
        <v>674241</v>
      </c>
      <c r="J11" s="10">
        <v>674241</v>
      </c>
      <c r="K11" s="20">
        <f>H11-J11</f>
        <v>0</v>
      </c>
      <c r="L11" s="248">
        <f>J11/C11</f>
        <v>0.9988755555555555</v>
      </c>
    </row>
    <row r="12" spans="1:12" ht="12.75">
      <c r="A12" s="272" t="s">
        <v>275</v>
      </c>
      <c r="B12" s="273"/>
      <c r="C12" s="263"/>
      <c r="D12" s="263"/>
      <c r="E12" s="263"/>
      <c r="F12" s="263"/>
      <c r="G12" s="264"/>
      <c r="H12" s="263"/>
      <c r="I12" s="263"/>
      <c r="J12" s="263"/>
      <c r="K12" s="265">
        <f>H12-J12</f>
        <v>0</v>
      </c>
      <c r="L12" s="270"/>
    </row>
    <row r="13" spans="1:12" ht="12.75">
      <c r="A13" s="47" t="s">
        <v>172</v>
      </c>
      <c r="B13" s="68" t="s">
        <v>10</v>
      </c>
      <c r="C13" s="48">
        <v>806000</v>
      </c>
      <c r="D13" s="48">
        <v>806000</v>
      </c>
      <c r="E13" s="48"/>
      <c r="F13" s="48"/>
      <c r="G13" s="81"/>
      <c r="H13" s="48">
        <v>799201</v>
      </c>
      <c r="I13" s="48">
        <v>799201</v>
      </c>
      <c r="J13" s="48">
        <v>540730</v>
      </c>
      <c r="K13" s="62">
        <f>H13-J13</f>
        <v>258471</v>
      </c>
      <c r="L13" s="250">
        <f>J13/C13</f>
        <v>0.6708808933002481</v>
      </c>
    </row>
    <row r="14" spans="1:12" ht="13.5" thickBot="1">
      <c r="A14" s="4" t="s">
        <v>171</v>
      </c>
      <c r="B14" s="43"/>
      <c r="C14" s="64"/>
      <c r="D14" s="64"/>
      <c r="E14" s="64"/>
      <c r="F14" s="64"/>
      <c r="G14" s="92"/>
      <c r="H14" s="64"/>
      <c r="I14" s="64"/>
      <c r="J14" s="64"/>
      <c r="K14" s="93">
        <f>H14-J14</f>
        <v>0</v>
      </c>
      <c r="L14" s="251"/>
    </row>
    <row r="15" spans="1:12" ht="13.5" thickBot="1">
      <c r="A15" s="517" t="s">
        <v>116</v>
      </c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9"/>
    </row>
    <row r="16" spans="1:12" ht="13.5" thickBot="1">
      <c r="A16" s="96" t="s">
        <v>117</v>
      </c>
      <c r="B16" s="70" t="s">
        <v>10</v>
      </c>
      <c r="C16" s="97">
        <f>C13+C12+C11</f>
        <v>1481000</v>
      </c>
      <c r="D16" s="97">
        <f aca="true" t="shared" si="1" ref="D16:K16">D13+D12+D11</f>
        <v>1481000</v>
      </c>
      <c r="E16" s="97">
        <f t="shared" si="1"/>
        <v>0</v>
      </c>
      <c r="F16" s="97">
        <f t="shared" si="1"/>
        <v>0</v>
      </c>
      <c r="G16" s="97">
        <f t="shared" si="1"/>
        <v>0</v>
      </c>
      <c r="H16" s="97">
        <f t="shared" si="1"/>
        <v>1473442</v>
      </c>
      <c r="I16" s="97">
        <f t="shared" si="1"/>
        <v>1473442</v>
      </c>
      <c r="J16" s="97">
        <f t="shared" si="1"/>
        <v>1214971</v>
      </c>
      <c r="K16" s="97">
        <f t="shared" si="1"/>
        <v>258471</v>
      </c>
      <c r="L16" s="249">
        <f>J16/C16</f>
        <v>0.8203720459149223</v>
      </c>
    </row>
    <row r="17" spans="1:12" ht="13.5" hidden="1" thickBot="1">
      <c r="A17" s="17" t="s">
        <v>119</v>
      </c>
      <c r="B17" s="54" t="s">
        <v>152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59">
        <f t="shared" si="2"/>
        <v>0</v>
      </c>
      <c r="L17" s="252"/>
    </row>
    <row r="18" spans="1:12" ht="12.75" hidden="1">
      <c r="A18" s="12" t="s">
        <v>167</v>
      </c>
      <c r="B18" s="551" t="s">
        <v>12</v>
      </c>
      <c r="C18" s="13">
        <f>D18+E18+F18+G18</f>
        <v>0</v>
      </c>
      <c r="D18" s="13"/>
      <c r="E18" s="13"/>
      <c r="F18" s="13"/>
      <c r="G18" s="82"/>
      <c r="H18" s="10"/>
      <c r="I18" s="10"/>
      <c r="J18" s="10"/>
      <c r="K18" s="20">
        <f>H18-J18</f>
        <v>0</v>
      </c>
      <c r="L18" s="248"/>
    </row>
    <row r="19" spans="1:12" ht="12.75" hidden="1">
      <c r="A19" s="1" t="s">
        <v>168</v>
      </c>
      <c r="B19" s="552"/>
      <c r="C19" s="10">
        <f>D19+E19+F19+G19</f>
        <v>0</v>
      </c>
      <c r="D19" s="10"/>
      <c r="E19" s="10"/>
      <c r="F19" s="10"/>
      <c r="G19" s="80"/>
      <c r="H19" s="10"/>
      <c r="I19" s="10"/>
      <c r="J19" s="10"/>
      <c r="K19" s="20">
        <f>H19-J19</f>
        <v>0</v>
      </c>
      <c r="L19" s="248"/>
    </row>
    <row r="20" spans="1:12" ht="12.75" hidden="1">
      <c r="A20" s="1" t="s">
        <v>169</v>
      </c>
      <c r="B20" s="552"/>
      <c r="C20" s="10">
        <f>D20+E20+F20+G20</f>
        <v>0</v>
      </c>
      <c r="D20" s="10"/>
      <c r="E20" s="10"/>
      <c r="F20" s="10"/>
      <c r="G20" s="80"/>
      <c r="H20" s="10"/>
      <c r="I20" s="10"/>
      <c r="J20" s="10"/>
      <c r="K20" s="20">
        <f>H20-J20</f>
        <v>0</v>
      </c>
      <c r="L20" s="248"/>
    </row>
    <row r="21" spans="1:12" ht="12.75" hidden="1">
      <c r="A21" s="47" t="s">
        <v>170</v>
      </c>
      <c r="B21" s="552"/>
      <c r="C21" s="48">
        <v>0</v>
      </c>
      <c r="D21" s="48">
        <v>0</v>
      </c>
      <c r="E21" s="48">
        <v>6000</v>
      </c>
      <c r="F21" s="48"/>
      <c r="G21" s="81"/>
      <c r="H21" s="48">
        <v>0</v>
      </c>
      <c r="I21" s="48">
        <v>0</v>
      </c>
      <c r="J21" s="48">
        <v>0</v>
      </c>
      <c r="K21" s="62">
        <f>H21-J21</f>
        <v>0</v>
      </c>
      <c r="L21" s="250"/>
    </row>
    <row r="22" spans="1:12" ht="13.5" hidden="1" thickBot="1">
      <c r="A22" s="4" t="s">
        <v>171</v>
      </c>
      <c r="B22" s="552"/>
      <c r="C22" s="64"/>
      <c r="D22" s="64"/>
      <c r="E22" s="64"/>
      <c r="F22" s="64"/>
      <c r="G22" s="92"/>
      <c r="H22" s="64"/>
      <c r="I22" s="64"/>
      <c r="J22" s="64"/>
      <c r="K22" s="93">
        <f>H22-J22</f>
        <v>0</v>
      </c>
      <c r="L22" s="251"/>
    </row>
    <row r="23" spans="1:12" ht="13.5" thickBot="1">
      <c r="A23" s="547" t="s">
        <v>116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9"/>
    </row>
    <row r="24" spans="1:12" ht="13.5" thickBot="1">
      <c r="A24" s="94" t="s">
        <v>118</v>
      </c>
      <c r="B24" s="43" t="s">
        <v>12</v>
      </c>
      <c r="C24" s="95">
        <f>C21</f>
        <v>0</v>
      </c>
      <c r="D24" s="95">
        <f aca="true" t="shared" si="3" ref="D24:K24">D21</f>
        <v>0</v>
      </c>
      <c r="E24" s="95">
        <f t="shared" si="3"/>
        <v>6000</v>
      </c>
      <c r="F24" s="95">
        <f t="shared" si="3"/>
        <v>0</v>
      </c>
      <c r="G24" s="95">
        <f t="shared" si="3"/>
        <v>0</v>
      </c>
      <c r="H24" s="95">
        <f t="shared" si="3"/>
        <v>0</v>
      </c>
      <c r="I24" s="95">
        <f t="shared" si="3"/>
        <v>0</v>
      </c>
      <c r="J24" s="95">
        <f t="shared" si="3"/>
        <v>0</v>
      </c>
      <c r="K24" s="103">
        <f t="shared" si="3"/>
        <v>0</v>
      </c>
      <c r="L24" s="253"/>
    </row>
    <row r="25" spans="1:12" ht="24.75" customHeight="1" thickBot="1">
      <c r="A25" s="49" t="s">
        <v>279</v>
      </c>
      <c r="B25" s="50" t="s">
        <v>152</v>
      </c>
      <c r="C25" s="51">
        <f>C28+C29</f>
        <v>898420</v>
      </c>
      <c r="D25" s="51">
        <f aca="true" t="shared" si="4" ref="D25:K25">D28+D29</f>
        <v>898420</v>
      </c>
      <c r="E25" s="51">
        <f t="shared" si="4"/>
        <v>0</v>
      </c>
      <c r="F25" s="51">
        <f t="shared" si="4"/>
        <v>0</v>
      </c>
      <c r="G25" s="51">
        <f t="shared" si="4"/>
        <v>0</v>
      </c>
      <c r="H25" s="51">
        <f t="shared" si="4"/>
        <v>530108</v>
      </c>
      <c r="I25" s="51">
        <f t="shared" si="4"/>
        <v>530108</v>
      </c>
      <c r="J25" s="51">
        <f t="shared" si="4"/>
        <v>530108</v>
      </c>
      <c r="K25" s="52">
        <f t="shared" si="4"/>
        <v>0</v>
      </c>
      <c r="L25" s="316">
        <f>J25/C25</f>
        <v>0.5900447452193851</v>
      </c>
    </row>
    <row r="26" spans="1:12" ht="12.75">
      <c r="A26" s="312" t="s">
        <v>167</v>
      </c>
      <c r="B26" s="43"/>
      <c r="C26" s="65">
        <f>D26+E26+F26+G26</f>
        <v>0</v>
      </c>
      <c r="D26" s="65"/>
      <c r="E26" s="65"/>
      <c r="F26" s="65"/>
      <c r="G26" s="313"/>
      <c r="H26" s="65"/>
      <c r="I26" s="65"/>
      <c r="J26" s="65"/>
      <c r="K26" s="314">
        <f>H26-J26</f>
        <v>0</v>
      </c>
      <c r="L26" s="315"/>
    </row>
    <row r="27" spans="1:12" ht="12.75">
      <c r="A27" s="1" t="s">
        <v>168</v>
      </c>
      <c r="B27" s="43"/>
      <c r="C27" s="64">
        <f>D27+E27+F27+G27</f>
        <v>0</v>
      </c>
      <c r="D27" s="10"/>
      <c r="E27" s="10"/>
      <c r="F27" s="10"/>
      <c r="G27" s="80"/>
      <c r="H27" s="10"/>
      <c r="I27" s="10"/>
      <c r="J27" s="10"/>
      <c r="K27" s="20">
        <f>H27-J27</f>
        <v>0</v>
      </c>
      <c r="L27" s="248"/>
    </row>
    <row r="28" spans="1:12" ht="12.75">
      <c r="A28" s="272" t="s">
        <v>248</v>
      </c>
      <c r="B28" s="53" t="s">
        <v>22</v>
      </c>
      <c r="C28" s="11">
        <v>49600</v>
      </c>
      <c r="D28" s="11">
        <v>49600</v>
      </c>
      <c r="E28" s="11"/>
      <c r="F28" s="11"/>
      <c r="G28" s="83"/>
      <c r="H28" s="11">
        <v>43290</v>
      </c>
      <c r="I28" s="11">
        <v>43290</v>
      </c>
      <c r="J28" s="11">
        <v>43290</v>
      </c>
      <c r="K28" s="60">
        <f>H28-J28</f>
        <v>0</v>
      </c>
      <c r="L28" s="254">
        <f>J28/C28</f>
        <v>0.8727822580645161</v>
      </c>
    </row>
    <row r="29" spans="1:12" ht="12.75">
      <c r="A29" s="555" t="s">
        <v>203</v>
      </c>
      <c r="B29" s="66"/>
      <c r="C29" s="67">
        <f>C30+C31+C32</f>
        <v>848820</v>
      </c>
      <c r="D29" s="67">
        <f aca="true" t="shared" si="5" ref="D29:K29">D30+D31+D32</f>
        <v>848820</v>
      </c>
      <c r="E29" s="67">
        <f t="shared" si="5"/>
        <v>0</v>
      </c>
      <c r="F29" s="67">
        <f t="shared" si="5"/>
        <v>0</v>
      </c>
      <c r="G29" s="67">
        <f t="shared" si="5"/>
        <v>0</v>
      </c>
      <c r="H29" s="67">
        <f t="shared" si="5"/>
        <v>486818</v>
      </c>
      <c r="I29" s="67">
        <f t="shared" si="5"/>
        <v>486818</v>
      </c>
      <c r="J29" s="67">
        <f t="shared" si="5"/>
        <v>486818</v>
      </c>
      <c r="K29" s="79">
        <f t="shared" si="5"/>
        <v>0</v>
      </c>
      <c r="L29" s="255">
        <f>J29/C29</f>
        <v>0.5735232440328927</v>
      </c>
    </row>
    <row r="30" spans="1:12" ht="12.75">
      <c r="A30" s="556"/>
      <c r="B30" s="55" t="s">
        <v>20</v>
      </c>
      <c r="C30" s="65">
        <v>706220</v>
      </c>
      <c r="D30" s="65">
        <v>706220</v>
      </c>
      <c r="E30" s="10"/>
      <c r="F30" s="10"/>
      <c r="G30" s="80"/>
      <c r="H30" s="10">
        <v>345148</v>
      </c>
      <c r="I30" s="10">
        <v>345148</v>
      </c>
      <c r="J30" s="10">
        <v>345148</v>
      </c>
      <c r="K30" s="20">
        <f>H30-J30</f>
        <v>0</v>
      </c>
      <c r="L30" s="248">
        <f>J30/D30</f>
        <v>0.4887258927812863</v>
      </c>
    </row>
    <row r="31" spans="1:12" ht="12.75">
      <c r="A31" s="556"/>
      <c r="B31" s="55" t="s">
        <v>21</v>
      </c>
      <c r="C31" s="65"/>
      <c r="D31" s="10">
        <v>0</v>
      </c>
      <c r="E31" s="10"/>
      <c r="F31" s="10"/>
      <c r="G31" s="80"/>
      <c r="H31" s="10"/>
      <c r="I31" s="10"/>
      <c r="J31" s="10"/>
      <c r="K31" s="20">
        <f>H31-J31</f>
        <v>0</v>
      </c>
      <c r="L31" s="248"/>
    </row>
    <row r="32" spans="1:12" ht="18" customHeight="1">
      <c r="A32" s="556"/>
      <c r="B32" s="55" t="s">
        <v>22</v>
      </c>
      <c r="C32" s="65">
        <v>142600</v>
      </c>
      <c r="D32" s="10">
        <v>142600</v>
      </c>
      <c r="E32" s="10"/>
      <c r="F32" s="10"/>
      <c r="G32" s="80"/>
      <c r="H32" s="10">
        <v>141670</v>
      </c>
      <c r="I32" s="10">
        <v>141670</v>
      </c>
      <c r="J32" s="10">
        <v>141670</v>
      </c>
      <c r="K32" s="20">
        <f>H32-J32</f>
        <v>0</v>
      </c>
      <c r="L32" s="248">
        <f>J32/C32</f>
        <v>0.9934782608695653</v>
      </c>
    </row>
    <row r="33" spans="1:12" ht="12.75" hidden="1">
      <c r="A33" s="557"/>
      <c r="B33" s="55"/>
      <c r="C33" s="65"/>
      <c r="D33" s="10"/>
      <c r="E33" s="10"/>
      <c r="F33" s="10"/>
      <c r="G33" s="80"/>
      <c r="H33" s="10"/>
      <c r="I33" s="10"/>
      <c r="J33" s="10"/>
      <c r="K33" s="20">
        <f>H33-J33</f>
        <v>0</v>
      </c>
      <c r="L33" s="248">
        <f>I33-K33</f>
        <v>0</v>
      </c>
    </row>
    <row r="34" spans="1:12" ht="13.5" thickBot="1">
      <c r="A34" s="4" t="s">
        <v>171</v>
      </c>
      <c r="B34" s="43"/>
      <c r="C34" s="64"/>
      <c r="D34" s="64"/>
      <c r="E34" s="64"/>
      <c r="F34" s="64"/>
      <c r="G34" s="92"/>
      <c r="H34" s="64"/>
      <c r="I34" s="64"/>
      <c r="J34" s="64"/>
      <c r="K34" s="93"/>
      <c r="L34" s="251"/>
    </row>
    <row r="35" spans="1:12" ht="13.5" thickBot="1">
      <c r="A35" s="517" t="s">
        <v>116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9"/>
    </row>
    <row r="36" spans="1:12" ht="12.75">
      <c r="A36" s="99"/>
      <c r="B36" s="70" t="s">
        <v>152</v>
      </c>
      <c r="C36" s="97"/>
      <c r="D36" s="97"/>
      <c r="E36" s="97"/>
      <c r="F36" s="97"/>
      <c r="G36" s="100"/>
      <c r="H36" s="97"/>
      <c r="I36" s="97"/>
      <c r="J36" s="97"/>
      <c r="K36" s="98"/>
      <c r="L36" s="98"/>
    </row>
    <row r="37" spans="1:12" ht="12.75">
      <c r="A37" s="6" t="s">
        <v>16</v>
      </c>
      <c r="B37" s="53" t="s">
        <v>20</v>
      </c>
      <c r="C37" s="11">
        <f>C30</f>
        <v>706220</v>
      </c>
      <c r="D37" s="11">
        <f aca="true" t="shared" si="6" ref="D37:K37">D30</f>
        <v>706220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345148</v>
      </c>
      <c r="I37" s="11">
        <f t="shared" si="6"/>
        <v>345148</v>
      </c>
      <c r="J37" s="11">
        <f t="shared" si="6"/>
        <v>345148</v>
      </c>
      <c r="K37" s="60">
        <f t="shared" si="6"/>
        <v>0</v>
      </c>
      <c r="L37" s="60">
        <f>L30</f>
        <v>0.4887258927812863</v>
      </c>
    </row>
    <row r="38" spans="1:12" ht="12.75">
      <c r="A38" s="6" t="s">
        <v>18</v>
      </c>
      <c r="B38" s="53" t="s">
        <v>21</v>
      </c>
      <c r="C38" s="11">
        <f>C31</f>
        <v>0</v>
      </c>
      <c r="D38" s="11">
        <f aca="true" t="shared" si="7" ref="D38:K38">D31</f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60">
        <f t="shared" si="7"/>
        <v>0</v>
      </c>
      <c r="L38" s="60">
        <f>L31</f>
        <v>0</v>
      </c>
    </row>
    <row r="39" spans="1:12" ht="13.5" thickBot="1">
      <c r="A39" s="5" t="s">
        <v>19</v>
      </c>
      <c r="B39" s="317" t="s">
        <v>22</v>
      </c>
      <c r="C39" s="15">
        <f>C28+C32</f>
        <v>192200</v>
      </c>
      <c r="D39" s="15">
        <f aca="true" t="shared" si="8" ref="D39:K39">D28+D32</f>
        <v>192200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184960</v>
      </c>
      <c r="I39" s="15">
        <f t="shared" si="8"/>
        <v>184960</v>
      </c>
      <c r="J39" s="15">
        <f t="shared" si="8"/>
        <v>184960</v>
      </c>
      <c r="K39" s="61">
        <f t="shared" si="8"/>
        <v>0</v>
      </c>
      <c r="L39" s="258">
        <f>L28+L32</f>
        <v>1.8662605189340815</v>
      </c>
    </row>
    <row r="40" spans="1:12" ht="24.75" customHeight="1" thickBot="1">
      <c r="A40" s="49" t="s">
        <v>274</v>
      </c>
      <c r="B40" s="50" t="s">
        <v>152</v>
      </c>
      <c r="C40" s="51">
        <f>C43+C49+C46+C42</f>
        <v>16370285</v>
      </c>
      <c r="D40" s="51">
        <f aca="true" t="shared" si="9" ref="D40:K40">D43+D49+D46+D42</f>
        <v>16370285</v>
      </c>
      <c r="E40" s="51">
        <f t="shared" si="9"/>
        <v>0</v>
      </c>
      <c r="F40" s="51">
        <f t="shared" si="9"/>
        <v>0</v>
      </c>
      <c r="G40" s="51">
        <f t="shared" si="9"/>
        <v>0</v>
      </c>
      <c r="H40" s="51">
        <f t="shared" si="9"/>
        <v>6674678</v>
      </c>
      <c r="I40" s="51">
        <f t="shared" si="9"/>
        <v>6674678</v>
      </c>
      <c r="J40" s="51">
        <f t="shared" si="9"/>
        <v>5163086</v>
      </c>
      <c r="K40" s="51">
        <f t="shared" si="9"/>
        <v>1511592</v>
      </c>
      <c r="L40" s="426">
        <f>J40/C40</f>
        <v>0.3153937759788544</v>
      </c>
    </row>
    <row r="41" spans="1:12" ht="12.75">
      <c r="A41" s="312" t="s">
        <v>167</v>
      </c>
      <c r="B41" s="78"/>
      <c r="C41" s="65">
        <f>D41+E41+F41+G41</f>
        <v>0</v>
      </c>
      <c r="D41" s="65"/>
      <c r="E41" s="65"/>
      <c r="F41" s="65"/>
      <c r="G41" s="313"/>
      <c r="H41" s="65"/>
      <c r="I41" s="65"/>
      <c r="J41" s="65"/>
      <c r="K41" s="314">
        <f>H41-J41</f>
        <v>0</v>
      </c>
      <c r="L41" s="314">
        <f>I41-K41</f>
        <v>0</v>
      </c>
    </row>
    <row r="42" spans="1:12" ht="12.75">
      <c r="A42" s="1" t="s">
        <v>282</v>
      </c>
      <c r="B42" s="72"/>
      <c r="C42" s="10">
        <v>16746</v>
      </c>
      <c r="D42" s="10">
        <v>16746</v>
      </c>
      <c r="E42" s="10"/>
      <c r="F42" s="10"/>
      <c r="G42" s="80"/>
      <c r="H42" s="10">
        <v>13579</v>
      </c>
      <c r="I42" s="10">
        <v>13579</v>
      </c>
      <c r="J42" s="10">
        <v>13579</v>
      </c>
      <c r="K42" s="20">
        <f>H42-J42</f>
        <v>0</v>
      </c>
      <c r="L42" s="20">
        <f>I42-K42</f>
        <v>13579</v>
      </c>
    </row>
    <row r="43" spans="1:12" ht="19.5" customHeight="1" thickBot="1">
      <c r="A43" s="513" t="s">
        <v>219</v>
      </c>
      <c r="B43" s="45" t="s">
        <v>152</v>
      </c>
      <c r="C43" s="11">
        <v>6420535</v>
      </c>
      <c r="D43" s="11">
        <v>6420535</v>
      </c>
      <c r="E43" s="11"/>
      <c r="F43" s="11"/>
      <c r="G43" s="11"/>
      <c r="H43" s="11">
        <v>2692421</v>
      </c>
      <c r="I43" s="11">
        <v>2692421</v>
      </c>
      <c r="J43" s="11">
        <v>2692421</v>
      </c>
      <c r="K43" s="11">
        <f>I43-J43</f>
        <v>0</v>
      </c>
      <c r="L43" s="254">
        <f>J43/C43</f>
        <v>0.41934527262915006</v>
      </c>
    </row>
    <row r="44" spans="1:12" ht="24.75" customHeight="1" hidden="1">
      <c r="A44" s="514"/>
      <c r="B44" s="38" t="s">
        <v>26</v>
      </c>
      <c r="C44" s="10"/>
      <c r="D44" s="10"/>
      <c r="E44" s="10"/>
      <c r="F44" s="10"/>
      <c r="G44" s="80"/>
      <c r="H44" s="10"/>
      <c r="I44" s="10"/>
      <c r="J44" s="10"/>
      <c r="K44" s="20">
        <f>H44-J44</f>
        <v>0</v>
      </c>
      <c r="L44" s="248" t="e">
        <f>J44/C44</f>
        <v>#DIV/0!</v>
      </c>
    </row>
    <row r="45" spans="1:12" ht="24.75" customHeight="1" hidden="1">
      <c r="A45" s="515"/>
      <c r="B45" s="38" t="s">
        <v>27</v>
      </c>
      <c r="C45" s="10"/>
      <c r="D45" s="10"/>
      <c r="E45" s="10"/>
      <c r="F45" s="10"/>
      <c r="G45" s="80"/>
      <c r="H45" s="10"/>
      <c r="I45" s="10"/>
      <c r="J45" s="10"/>
      <c r="K45" s="20"/>
      <c r="L45" s="20"/>
    </row>
    <row r="46" spans="1:12" ht="9.75" customHeight="1">
      <c r="A46" s="505" t="s">
        <v>265</v>
      </c>
      <c r="B46" s="505" t="s">
        <v>152</v>
      </c>
      <c r="C46" s="497">
        <v>947600</v>
      </c>
      <c r="D46" s="497">
        <v>947600</v>
      </c>
      <c r="E46" s="497"/>
      <c r="F46" s="497"/>
      <c r="G46" s="497"/>
      <c r="H46" s="497">
        <v>1500</v>
      </c>
      <c r="I46" s="497">
        <v>1500</v>
      </c>
      <c r="J46" s="497">
        <v>500</v>
      </c>
      <c r="K46" s="497">
        <f>I46-J46</f>
        <v>1000</v>
      </c>
      <c r="L46" s="500">
        <f>J46/C46</f>
        <v>0.000527648796960743</v>
      </c>
    </row>
    <row r="47" spans="1:12" ht="15.75" customHeight="1">
      <c r="A47" s="506"/>
      <c r="B47" s="506"/>
      <c r="C47" s="498"/>
      <c r="D47" s="498"/>
      <c r="E47" s="498"/>
      <c r="F47" s="498"/>
      <c r="G47" s="498"/>
      <c r="H47" s="498"/>
      <c r="I47" s="498"/>
      <c r="J47" s="498"/>
      <c r="K47" s="498"/>
      <c r="L47" s="501"/>
    </row>
    <row r="48" spans="1:12" ht="3" customHeight="1" thickBot="1">
      <c r="A48" s="507"/>
      <c r="B48" s="507"/>
      <c r="C48" s="499"/>
      <c r="D48" s="499"/>
      <c r="E48" s="499"/>
      <c r="F48" s="499"/>
      <c r="G48" s="499"/>
      <c r="H48" s="499"/>
      <c r="I48" s="499"/>
      <c r="J48" s="499"/>
      <c r="K48" s="499"/>
      <c r="L48" s="502"/>
    </row>
    <row r="49" spans="1:12" ht="19.5" customHeight="1">
      <c r="A49" s="541" t="s">
        <v>204</v>
      </c>
      <c r="B49" s="71" t="s">
        <v>152</v>
      </c>
      <c r="C49" s="48">
        <v>8985404</v>
      </c>
      <c r="D49" s="48">
        <v>8985404</v>
      </c>
      <c r="E49" s="48"/>
      <c r="F49" s="48"/>
      <c r="G49" s="48"/>
      <c r="H49" s="48">
        <v>3967178</v>
      </c>
      <c r="I49" s="48">
        <v>3967178</v>
      </c>
      <c r="J49" s="48">
        <v>2456586</v>
      </c>
      <c r="K49" s="48">
        <f>I49-J49</f>
        <v>1510592</v>
      </c>
      <c r="L49" s="408">
        <f>J49/C49</f>
        <v>0.2733973898112984</v>
      </c>
    </row>
    <row r="50" spans="1:12" ht="12.75" hidden="1">
      <c r="A50" s="542"/>
      <c r="B50" s="89" t="s">
        <v>243</v>
      </c>
      <c r="C50" s="34">
        <v>81800</v>
      </c>
      <c r="D50" s="34">
        <v>81800</v>
      </c>
      <c r="E50" s="34"/>
      <c r="F50" s="34"/>
      <c r="G50" s="90"/>
      <c r="H50" s="34"/>
      <c r="I50" s="34"/>
      <c r="J50" s="34"/>
      <c r="K50" s="84"/>
      <c r="L50" s="271"/>
    </row>
    <row r="51" spans="1:12" ht="12.75" hidden="1">
      <c r="A51" s="542"/>
      <c r="B51" s="89" t="s">
        <v>26</v>
      </c>
      <c r="C51" s="34">
        <v>1619200</v>
      </c>
      <c r="D51" s="34">
        <v>15000</v>
      </c>
      <c r="E51" s="34"/>
      <c r="F51" s="34"/>
      <c r="G51" s="90"/>
      <c r="H51" s="34"/>
      <c r="I51" s="34"/>
      <c r="J51" s="34">
        <v>0</v>
      </c>
      <c r="K51" s="84"/>
      <c r="L51" s="248">
        <f>J51/C51</f>
        <v>0</v>
      </c>
    </row>
    <row r="52" spans="1:12" ht="12.75" hidden="1">
      <c r="A52" s="542"/>
      <c r="B52" s="89" t="s">
        <v>196</v>
      </c>
      <c r="C52" s="34"/>
      <c r="D52" s="34"/>
      <c r="E52" s="34"/>
      <c r="F52" s="34"/>
      <c r="G52" s="90"/>
      <c r="H52" s="34"/>
      <c r="I52" s="34"/>
      <c r="J52" s="34">
        <v>0</v>
      </c>
      <c r="K52" s="84"/>
      <c r="L52" s="248" t="e">
        <f>J52/C52</f>
        <v>#DIV/0!</v>
      </c>
    </row>
    <row r="53" spans="1:12" ht="12.75" hidden="1">
      <c r="A53" s="542"/>
      <c r="B53" s="72" t="s">
        <v>178</v>
      </c>
      <c r="C53" s="10">
        <v>4744000</v>
      </c>
      <c r="D53" s="10">
        <v>704000</v>
      </c>
      <c r="E53" s="10"/>
      <c r="F53" s="10"/>
      <c r="G53" s="80"/>
      <c r="H53" s="10"/>
      <c r="I53" s="10"/>
      <c r="J53" s="10">
        <v>0</v>
      </c>
      <c r="K53" s="20">
        <f>H53-J53</f>
        <v>0</v>
      </c>
      <c r="L53" s="248">
        <f>J53/C53</f>
        <v>0</v>
      </c>
    </row>
    <row r="54" spans="1:12" ht="12.75" hidden="1">
      <c r="A54" s="542"/>
      <c r="B54" s="72" t="s">
        <v>27</v>
      </c>
      <c r="C54" s="10">
        <v>962000</v>
      </c>
      <c r="D54" s="10">
        <v>662000</v>
      </c>
      <c r="E54" s="10"/>
      <c r="F54" s="10"/>
      <c r="G54" s="80"/>
      <c r="H54" s="10">
        <v>0</v>
      </c>
      <c r="I54" s="10">
        <v>0</v>
      </c>
      <c r="J54" s="10">
        <v>0</v>
      </c>
      <c r="K54" s="20"/>
      <c r="L54" s="248">
        <f>J54/C54</f>
        <v>0</v>
      </c>
    </row>
    <row r="55" spans="1:12" ht="12.75" hidden="1">
      <c r="A55" s="543"/>
      <c r="B55" s="72" t="s">
        <v>28</v>
      </c>
      <c r="C55" s="10">
        <v>3590000</v>
      </c>
      <c r="D55" s="10">
        <v>280000</v>
      </c>
      <c r="E55" s="10"/>
      <c r="F55" s="10"/>
      <c r="G55" s="80"/>
      <c r="H55" s="10">
        <v>0</v>
      </c>
      <c r="I55" s="10">
        <v>0</v>
      </c>
      <c r="J55" s="10">
        <v>0</v>
      </c>
      <c r="K55" s="20">
        <f>H55-J55</f>
        <v>0</v>
      </c>
      <c r="L55" s="248">
        <f>J55/C55</f>
        <v>0</v>
      </c>
    </row>
    <row r="56" spans="1:12" ht="13.5" thickBot="1">
      <c r="A56" s="4" t="s">
        <v>171</v>
      </c>
      <c r="B56" s="73"/>
      <c r="C56" s="64"/>
      <c r="D56" s="64"/>
      <c r="E56" s="64"/>
      <c r="F56" s="64"/>
      <c r="G56" s="92"/>
      <c r="H56" s="409"/>
      <c r="I56" s="409"/>
      <c r="J56" s="409"/>
      <c r="K56" s="93">
        <f>H56-J56</f>
        <v>0</v>
      </c>
      <c r="L56" s="93"/>
    </row>
    <row r="57" spans="1:12" ht="13.5" thickBot="1">
      <c r="A57" s="517" t="s">
        <v>116</v>
      </c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9"/>
    </row>
    <row r="58" spans="1:12" ht="12.75">
      <c r="A58" s="96" t="s">
        <v>244</v>
      </c>
      <c r="B58" s="78" t="s">
        <v>243</v>
      </c>
      <c r="C58" s="97">
        <v>53400</v>
      </c>
      <c r="D58" s="97">
        <v>53400</v>
      </c>
      <c r="E58" s="97"/>
      <c r="F58" s="97"/>
      <c r="G58" s="97"/>
      <c r="H58" s="97">
        <v>12377</v>
      </c>
      <c r="I58" s="97">
        <v>12377</v>
      </c>
      <c r="J58" s="97">
        <v>12377</v>
      </c>
      <c r="K58" s="97">
        <f aca="true" t="shared" si="10" ref="K58:K63">I58-J58</f>
        <v>0</v>
      </c>
      <c r="L58" s="425">
        <f aca="true" t="shared" si="11" ref="L58:L63">J58/C58</f>
        <v>0.23177902621722846</v>
      </c>
    </row>
    <row r="59" spans="1:12" ht="12.75">
      <c r="A59" s="96" t="s">
        <v>245</v>
      </c>
      <c r="B59" s="78" t="s">
        <v>26</v>
      </c>
      <c r="C59" s="97">
        <v>1691478</v>
      </c>
      <c r="D59" s="97">
        <v>1681478</v>
      </c>
      <c r="E59" s="97"/>
      <c r="F59" s="97"/>
      <c r="G59" s="97"/>
      <c r="H59" s="97">
        <v>1241285</v>
      </c>
      <c r="I59" s="97">
        <v>1241285</v>
      </c>
      <c r="J59" s="97">
        <v>1241285</v>
      </c>
      <c r="K59" s="97">
        <f t="shared" si="10"/>
        <v>0</v>
      </c>
      <c r="L59" s="425">
        <f t="shared" si="11"/>
        <v>0.7338463757731404</v>
      </c>
    </row>
    <row r="60" spans="1:12" ht="12.75">
      <c r="A60" s="96" t="s">
        <v>246</v>
      </c>
      <c r="B60" s="78" t="s">
        <v>196</v>
      </c>
      <c r="C60" s="97"/>
      <c r="D60" s="97"/>
      <c r="E60" s="97"/>
      <c r="F60" s="97"/>
      <c r="G60" s="97"/>
      <c r="H60" s="97"/>
      <c r="I60" s="97"/>
      <c r="J60" s="97"/>
      <c r="K60" s="97">
        <f t="shared" si="10"/>
        <v>0</v>
      </c>
      <c r="L60" s="425">
        <v>0</v>
      </c>
    </row>
    <row r="61" spans="1:12" ht="12.75">
      <c r="A61" s="96" t="s">
        <v>270</v>
      </c>
      <c r="B61" s="72" t="s">
        <v>178</v>
      </c>
      <c r="C61" s="11">
        <v>4121809</v>
      </c>
      <c r="D61" s="11">
        <v>4121809</v>
      </c>
      <c r="E61" s="11"/>
      <c r="F61" s="11"/>
      <c r="G61" s="11"/>
      <c r="H61" s="11">
        <v>522208</v>
      </c>
      <c r="I61" s="11">
        <v>522208</v>
      </c>
      <c r="J61" s="11">
        <v>52178</v>
      </c>
      <c r="K61" s="97">
        <f t="shared" si="10"/>
        <v>470030</v>
      </c>
      <c r="L61" s="425">
        <f t="shared" si="11"/>
        <v>0.01265900482045626</v>
      </c>
    </row>
    <row r="62" spans="1:12" ht="12.75">
      <c r="A62" s="96" t="s">
        <v>271</v>
      </c>
      <c r="B62" s="72" t="s">
        <v>27</v>
      </c>
      <c r="C62" s="11">
        <v>5828998</v>
      </c>
      <c r="D62" s="11">
        <v>5828998</v>
      </c>
      <c r="E62" s="11"/>
      <c r="F62" s="11"/>
      <c r="G62" s="11"/>
      <c r="H62" s="11">
        <v>2168920</v>
      </c>
      <c r="I62" s="11">
        <v>2168920</v>
      </c>
      <c r="J62" s="11">
        <v>2168420</v>
      </c>
      <c r="K62" s="97">
        <f t="shared" si="10"/>
        <v>500</v>
      </c>
      <c r="L62" s="425">
        <f t="shared" si="11"/>
        <v>0.3720056174320183</v>
      </c>
    </row>
    <row r="63" spans="1:12" ht="13.5" thickBot="1">
      <c r="A63" s="14" t="s">
        <v>247</v>
      </c>
      <c r="B63" s="73" t="s">
        <v>28</v>
      </c>
      <c r="C63" s="15">
        <v>4674600</v>
      </c>
      <c r="D63" s="15">
        <v>4674600</v>
      </c>
      <c r="E63" s="15"/>
      <c r="F63" s="15"/>
      <c r="G63" s="15"/>
      <c r="H63" s="15">
        <v>2729888</v>
      </c>
      <c r="I63" s="15">
        <v>2729888</v>
      </c>
      <c r="J63" s="15">
        <v>1219296</v>
      </c>
      <c r="K63" s="97">
        <f t="shared" si="10"/>
        <v>1510592</v>
      </c>
      <c r="L63" s="425">
        <f t="shared" si="11"/>
        <v>0.260834295982544</v>
      </c>
    </row>
    <row r="64" spans="1:12" s="32" customFormat="1" ht="24.75" customHeight="1" thickBot="1">
      <c r="A64" s="49" t="s">
        <v>278</v>
      </c>
      <c r="B64" s="50" t="s">
        <v>152</v>
      </c>
      <c r="C64" s="51">
        <f>C65+C66+C67+C68+C69</f>
        <v>483900</v>
      </c>
      <c r="D64" s="51">
        <f aca="true" t="shared" si="12" ref="D64:K64">D65+D66+D67+D68+D69</f>
        <v>483900</v>
      </c>
      <c r="E64" s="51">
        <f t="shared" si="12"/>
        <v>0</v>
      </c>
      <c r="F64" s="51">
        <f t="shared" si="12"/>
        <v>0</v>
      </c>
      <c r="G64" s="51">
        <f t="shared" si="12"/>
        <v>0</v>
      </c>
      <c r="H64" s="51">
        <f t="shared" si="12"/>
        <v>483900</v>
      </c>
      <c r="I64" s="51">
        <f t="shared" si="12"/>
        <v>483900</v>
      </c>
      <c r="J64" s="51">
        <f t="shared" si="12"/>
        <v>410400</v>
      </c>
      <c r="K64" s="52">
        <f t="shared" si="12"/>
        <v>73500</v>
      </c>
      <c r="L64" s="316">
        <f>L65+L66+L67+L68+L69</f>
        <v>1.8402173913043478</v>
      </c>
    </row>
    <row r="65" spans="1:12" ht="12.75">
      <c r="A65" s="539" t="s">
        <v>167</v>
      </c>
      <c r="B65" s="346" t="s">
        <v>25</v>
      </c>
      <c r="C65" s="347">
        <v>460000</v>
      </c>
      <c r="D65" s="347">
        <v>460000</v>
      </c>
      <c r="E65" s="347"/>
      <c r="F65" s="347"/>
      <c r="G65" s="348"/>
      <c r="H65" s="347">
        <v>460000</v>
      </c>
      <c r="I65" s="347">
        <v>460000</v>
      </c>
      <c r="J65" s="347">
        <v>386500</v>
      </c>
      <c r="K65" s="349">
        <f aca="true" t="shared" si="13" ref="K65:L69">H65-J65</f>
        <v>73500</v>
      </c>
      <c r="L65" s="380">
        <f>J65/C65</f>
        <v>0.8402173913043478</v>
      </c>
    </row>
    <row r="66" spans="1:12" ht="12.75" hidden="1">
      <c r="A66" s="540" t="s">
        <v>168</v>
      </c>
      <c r="B66" s="55"/>
      <c r="C66" s="10">
        <f>D66+E66+F66+G66</f>
        <v>0</v>
      </c>
      <c r="D66" s="10"/>
      <c r="E66" s="10"/>
      <c r="F66" s="10"/>
      <c r="G66" s="80"/>
      <c r="H66" s="10"/>
      <c r="I66" s="10"/>
      <c r="J66" s="10"/>
      <c r="K66" s="20">
        <f t="shared" si="13"/>
        <v>0</v>
      </c>
      <c r="L66" s="20">
        <f t="shared" si="13"/>
        <v>0</v>
      </c>
    </row>
    <row r="67" spans="1:12" ht="12.75" hidden="1">
      <c r="A67" s="1" t="s">
        <v>169</v>
      </c>
      <c r="B67" s="55"/>
      <c r="C67" s="10">
        <f>D67+E67+F67+G67</f>
        <v>0</v>
      </c>
      <c r="D67" s="10"/>
      <c r="E67" s="10"/>
      <c r="F67" s="10"/>
      <c r="G67" s="80"/>
      <c r="H67" s="10"/>
      <c r="I67" s="10"/>
      <c r="J67" s="10"/>
      <c r="K67" s="20">
        <f t="shared" si="13"/>
        <v>0</v>
      </c>
      <c r="L67" s="20">
        <f t="shared" si="13"/>
        <v>0</v>
      </c>
    </row>
    <row r="68" spans="1:12" ht="12.75">
      <c r="A68" s="1" t="s">
        <v>170</v>
      </c>
      <c r="B68" s="55" t="s">
        <v>25</v>
      </c>
      <c r="C68" s="10">
        <v>23900</v>
      </c>
      <c r="D68" s="10">
        <v>23900</v>
      </c>
      <c r="E68" s="10"/>
      <c r="F68" s="10"/>
      <c r="G68" s="80"/>
      <c r="H68" s="10">
        <v>23900</v>
      </c>
      <c r="I68" s="10">
        <v>23900</v>
      </c>
      <c r="J68" s="10">
        <v>23900</v>
      </c>
      <c r="K68" s="20">
        <f t="shared" si="13"/>
        <v>0</v>
      </c>
      <c r="L68" s="248">
        <f>J68/D68</f>
        <v>1</v>
      </c>
    </row>
    <row r="69" spans="1:12" ht="12.75">
      <c r="A69" s="1" t="s">
        <v>171</v>
      </c>
      <c r="B69" s="55"/>
      <c r="C69" s="10"/>
      <c r="D69" s="10"/>
      <c r="E69" s="10"/>
      <c r="F69" s="10"/>
      <c r="G69" s="80"/>
      <c r="H69" s="10"/>
      <c r="I69" s="10"/>
      <c r="J69" s="10"/>
      <c r="K69" s="20">
        <f t="shared" si="13"/>
        <v>0</v>
      </c>
      <c r="L69" s="20">
        <f t="shared" si="13"/>
        <v>0</v>
      </c>
    </row>
    <row r="70" spans="1:12" ht="12.75">
      <c r="A70" s="533" t="s">
        <v>116</v>
      </c>
      <c r="B70" s="534"/>
      <c r="C70" s="534"/>
      <c r="D70" s="534"/>
      <c r="E70" s="534"/>
      <c r="F70" s="534"/>
      <c r="G70" s="534"/>
      <c r="H70" s="534"/>
      <c r="I70" s="534"/>
      <c r="J70" s="534"/>
      <c r="K70" s="535"/>
      <c r="L70" s="344"/>
    </row>
    <row r="71" spans="1:12" ht="12.75">
      <c r="A71" s="14" t="s">
        <v>236</v>
      </c>
      <c r="B71" s="317" t="s">
        <v>235</v>
      </c>
      <c r="C71" s="15">
        <f>C68</f>
        <v>23900</v>
      </c>
      <c r="D71" s="15">
        <f aca="true" t="shared" si="14" ref="D71:L71">D68</f>
        <v>23900</v>
      </c>
      <c r="E71" s="15">
        <f t="shared" si="14"/>
        <v>0</v>
      </c>
      <c r="F71" s="15">
        <f t="shared" si="14"/>
        <v>0</v>
      </c>
      <c r="G71" s="15">
        <f t="shared" si="14"/>
        <v>0</v>
      </c>
      <c r="H71" s="15">
        <f t="shared" si="14"/>
        <v>23900</v>
      </c>
      <c r="I71" s="15">
        <f t="shared" si="14"/>
        <v>23900</v>
      </c>
      <c r="J71" s="15">
        <f t="shared" si="14"/>
        <v>23900</v>
      </c>
      <c r="K71" s="15">
        <f t="shared" si="14"/>
        <v>0</v>
      </c>
      <c r="L71" s="427">
        <f t="shared" si="14"/>
        <v>1</v>
      </c>
    </row>
    <row r="72" spans="1:12" ht="13.5" thickBot="1">
      <c r="A72" s="14" t="s">
        <v>24</v>
      </c>
      <c r="B72" s="317" t="s">
        <v>25</v>
      </c>
      <c r="C72" s="15">
        <f>C65</f>
        <v>460000</v>
      </c>
      <c r="D72" s="15">
        <f aca="true" t="shared" si="15" ref="D72:K72">D65</f>
        <v>460000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460000</v>
      </c>
      <c r="I72" s="15">
        <f t="shared" si="15"/>
        <v>460000</v>
      </c>
      <c r="J72" s="15">
        <f t="shared" si="15"/>
        <v>386500</v>
      </c>
      <c r="K72" s="15">
        <f t="shared" si="15"/>
        <v>73500</v>
      </c>
      <c r="L72" s="254">
        <f>J72/C72</f>
        <v>0.8402173913043478</v>
      </c>
    </row>
    <row r="73" spans="1:12" ht="24.75" customHeight="1" thickBot="1">
      <c r="A73" s="49" t="s">
        <v>120</v>
      </c>
      <c r="B73" s="381" t="s">
        <v>152</v>
      </c>
      <c r="C73" s="382">
        <f>C79+C85+C74+C82</f>
        <v>24541320</v>
      </c>
      <c r="D73" s="382">
        <f aca="true" t="shared" si="16" ref="D73:K73">D79+D85+D74+D82</f>
        <v>24540320</v>
      </c>
      <c r="E73" s="382">
        <f t="shared" si="16"/>
        <v>0</v>
      </c>
      <c r="F73" s="382">
        <f t="shared" si="16"/>
        <v>0</v>
      </c>
      <c r="G73" s="382">
        <f t="shared" si="16"/>
        <v>0</v>
      </c>
      <c r="H73" s="382">
        <f t="shared" si="16"/>
        <v>9550714</v>
      </c>
      <c r="I73" s="382">
        <f t="shared" si="16"/>
        <v>9550714</v>
      </c>
      <c r="J73" s="382">
        <f t="shared" si="16"/>
        <v>9255096</v>
      </c>
      <c r="K73" s="382">
        <f t="shared" si="16"/>
        <v>295618</v>
      </c>
      <c r="L73" s="386">
        <f>J73/C73</f>
        <v>0.3771229909393627</v>
      </c>
    </row>
    <row r="74" spans="1:12" ht="14.25" customHeight="1">
      <c r="A74" s="438" t="s">
        <v>242</v>
      </c>
      <c r="B74" s="383" t="s">
        <v>255</v>
      </c>
      <c r="C74" s="384">
        <f>C75+C76</f>
        <v>350000</v>
      </c>
      <c r="D74" s="384">
        <f aca="true" t="shared" si="17" ref="D74:K74">D75+D76</f>
        <v>350000</v>
      </c>
      <c r="E74" s="384">
        <f t="shared" si="17"/>
        <v>0</v>
      </c>
      <c r="F74" s="384">
        <f t="shared" si="17"/>
        <v>0</v>
      </c>
      <c r="G74" s="384">
        <f t="shared" si="17"/>
        <v>0</v>
      </c>
      <c r="H74" s="384">
        <f t="shared" si="17"/>
        <v>100000</v>
      </c>
      <c r="I74" s="384">
        <f t="shared" si="17"/>
        <v>100000</v>
      </c>
      <c r="J74" s="384">
        <f t="shared" si="17"/>
        <v>100000</v>
      </c>
      <c r="K74" s="384">
        <f t="shared" si="17"/>
        <v>0</v>
      </c>
      <c r="L74" s="385">
        <f>J74/C74</f>
        <v>0.2857142857142857</v>
      </c>
    </row>
    <row r="75" spans="1:12" ht="12.75">
      <c r="A75" s="439" t="s">
        <v>192</v>
      </c>
      <c r="B75" s="78" t="s">
        <v>33</v>
      </c>
      <c r="C75" s="65">
        <v>100000</v>
      </c>
      <c r="D75" s="65">
        <v>100000</v>
      </c>
      <c r="E75" s="65"/>
      <c r="F75" s="65"/>
      <c r="G75" s="313"/>
      <c r="H75" s="65">
        <v>100000</v>
      </c>
      <c r="I75" s="65">
        <v>100000</v>
      </c>
      <c r="J75" s="65">
        <v>100000</v>
      </c>
      <c r="K75" s="314">
        <f>H75-J75</f>
        <v>0</v>
      </c>
      <c r="L75" s="315">
        <f>J75/C75</f>
        <v>1</v>
      </c>
    </row>
    <row r="76" spans="1:12" ht="12.75">
      <c r="A76" s="439" t="s">
        <v>272</v>
      </c>
      <c r="B76" s="78" t="s">
        <v>31</v>
      </c>
      <c r="C76" s="65">
        <v>250000</v>
      </c>
      <c r="D76" s="65">
        <v>250000</v>
      </c>
      <c r="E76" s="65"/>
      <c r="F76" s="65"/>
      <c r="G76" s="313"/>
      <c r="H76" s="65"/>
      <c r="I76" s="65"/>
      <c r="J76" s="65"/>
      <c r="K76" s="314"/>
      <c r="L76" s="315"/>
    </row>
    <row r="77" spans="1:12" ht="12.75">
      <c r="A77" s="1" t="s">
        <v>174</v>
      </c>
      <c r="B77" s="72"/>
      <c r="C77" s="10">
        <f>D77+E77+F77+G77</f>
        <v>0</v>
      </c>
      <c r="D77" s="10"/>
      <c r="E77" s="10"/>
      <c r="F77" s="10"/>
      <c r="G77" s="80"/>
      <c r="H77" s="10"/>
      <c r="I77" s="10"/>
      <c r="J77" s="10"/>
      <c r="K77" s="20">
        <f>H77-J77</f>
        <v>0</v>
      </c>
      <c r="L77" s="248"/>
    </row>
    <row r="78" spans="1:12" ht="12.75" hidden="1">
      <c r="A78" s="1"/>
      <c r="B78" s="72"/>
      <c r="C78" s="10"/>
      <c r="D78" s="10"/>
      <c r="E78" s="10"/>
      <c r="F78" s="10"/>
      <c r="G78" s="80"/>
      <c r="H78" s="10"/>
      <c r="I78" s="10"/>
      <c r="J78" s="10"/>
      <c r="K78" s="20"/>
      <c r="L78" s="271"/>
    </row>
    <row r="79" spans="1:12" ht="12.75">
      <c r="A79" s="513" t="s">
        <v>233</v>
      </c>
      <c r="B79" s="262" t="s">
        <v>152</v>
      </c>
      <c r="C79" s="263">
        <f>C80+C81</f>
        <v>19565100</v>
      </c>
      <c r="D79" s="263">
        <f aca="true" t="shared" si="18" ref="D79:J79">D80+D81</f>
        <v>19565100</v>
      </c>
      <c r="E79" s="263">
        <f t="shared" si="18"/>
        <v>0</v>
      </c>
      <c r="F79" s="263">
        <f t="shared" si="18"/>
        <v>0</v>
      </c>
      <c r="G79" s="263">
        <f t="shared" si="18"/>
        <v>0</v>
      </c>
      <c r="H79" s="263">
        <f t="shared" si="18"/>
        <v>8719431</v>
      </c>
      <c r="I79" s="263">
        <f t="shared" si="18"/>
        <v>8719431</v>
      </c>
      <c r="J79" s="263">
        <f t="shared" si="18"/>
        <v>8580278</v>
      </c>
      <c r="K79" s="263">
        <f>K80+K81</f>
        <v>139153</v>
      </c>
      <c r="L79" s="270">
        <f aca="true" t="shared" si="19" ref="L79:L85">J79/C79</f>
        <v>0.43855017352326336</v>
      </c>
    </row>
    <row r="80" spans="1:12" ht="12.75">
      <c r="A80" s="514"/>
      <c r="B80" s="89" t="s">
        <v>33</v>
      </c>
      <c r="C80" s="34">
        <v>5930000</v>
      </c>
      <c r="D80" s="34">
        <v>5930000</v>
      </c>
      <c r="E80" s="34"/>
      <c r="F80" s="34"/>
      <c r="G80" s="90"/>
      <c r="H80" s="34">
        <v>4243558</v>
      </c>
      <c r="I80" s="34">
        <v>4243558</v>
      </c>
      <c r="J80" s="34">
        <f>2012700+1939339+216440</f>
        <v>4168479</v>
      </c>
      <c r="K80" s="84">
        <f>H80-J80</f>
        <v>75079</v>
      </c>
      <c r="L80" s="271">
        <f t="shared" si="19"/>
        <v>0.7029475548060709</v>
      </c>
    </row>
    <row r="81" spans="1:12" ht="12.75">
      <c r="A81" s="515"/>
      <c r="B81" s="89" t="s">
        <v>57</v>
      </c>
      <c r="C81" s="34">
        <v>13635100</v>
      </c>
      <c r="D81" s="34">
        <v>13635100</v>
      </c>
      <c r="E81" s="34"/>
      <c r="F81" s="34"/>
      <c r="G81" s="90"/>
      <c r="H81" s="34">
        <f>2629800+19026+1827047</f>
        <v>4475873</v>
      </c>
      <c r="I81" s="34">
        <v>4475873</v>
      </c>
      <c r="J81" s="34">
        <f>61956+2498811+1851032</f>
        <v>4411799</v>
      </c>
      <c r="K81" s="84">
        <f>H81-J81</f>
        <v>64074</v>
      </c>
      <c r="L81" s="271">
        <f t="shared" si="19"/>
        <v>0.3235619100703332</v>
      </c>
    </row>
    <row r="82" spans="1:12" ht="12.75" customHeight="1">
      <c r="A82" s="544" t="s">
        <v>268</v>
      </c>
      <c r="B82" s="422" t="s">
        <v>152</v>
      </c>
      <c r="C82" s="423">
        <f>C83+C84</f>
        <v>2003500</v>
      </c>
      <c r="D82" s="423">
        <f aca="true" t="shared" si="20" ref="D82:K82">D83+D84</f>
        <v>2002500</v>
      </c>
      <c r="E82" s="423">
        <f t="shared" si="20"/>
        <v>0</v>
      </c>
      <c r="F82" s="423">
        <f t="shared" si="20"/>
        <v>0</v>
      </c>
      <c r="G82" s="423">
        <f t="shared" si="20"/>
        <v>0</v>
      </c>
      <c r="H82" s="423">
        <f t="shared" si="20"/>
        <v>6390</v>
      </c>
      <c r="I82" s="423">
        <f t="shared" si="20"/>
        <v>6390</v>
      </c>
      <c r="J82" s="423">
        <f t="shared" si="20"/>
        <v>0</v>
      </c>
      <c r="K82" s="423">
        <f t="shared" si="20"/>
        <v>6390</v>
      </c>
      <c r="L82" s="424">
        <f t="shared" si="19"/>
        <v>0</v>
      </c>
    </row>
    <row r="83" spans="1:12" ht="12.75">
      <c r="A83" s="545"/>
      <c r="B83" s="89" t="s">
        <v>44</v>
      </c>
      <c r="C83" s="34">
        <v>1612000</v>
      </c>
      <c r="D83" s="34">
        <v>1611000</v>
      </c>
      <c r="E83" s="34"/>
      <c r="F83" s="34"/>
      <c r="G83" s="90"/>
      <c r="H83" s="34">
        <v>5890</v>
      </c>
      <c r="I83" s="34">
        <v>5890</v>
      </c>
      <c r="J83" s="34"/>
      <c r="K83" s="90">
        <f>I83-J83</f>
        <v>5890</v>
      </c>
      <c r="L83" s="271">
        <f t="shared" si="19"/>
        <v>0</v>
      </c>
    </row>
    <row r="84" spans="1:12" ht="12.75">
      <c r="A84" s="546"/>
      <c r="B84" s="89" t="s">
        <v>57</v>
      </c>
      <c r="C84" s="34">
        <v>391500</v>
      </c>
      <c r="D84" s="34">
        <v>391500</v>
      </c>
      <c r="E84" s="34"/>
      <c r="F84" s="34"/>
      <c r="G84" s="90"/>
      <c r="H84" s="34">
        <v>500</v>
      </c>
      <c r="I84" s="34">
        <v>500</v>
      </c>
      <c r="J84" s="34"/>
      <c r="K84" s="90">
        <f>I84-J84</f>
        <v>500</v>
      </c>
      <c r="L84" s="271">
        <f t="shared" si="19"/>
        <v>0</v>
      </c>
    </row>
    <row r="85" spans="1:12" ht="12.75">
      <c r="A85" s="536" t="s">
        <v>234</v>
      </c>
      <c r="B85" s="71"/>
      <c r="C85" s="48">
        <f>C86+C87+C88</f>
        <v>2622720</v>
      </c>
      <c r="D85" s="48">
        <f aca="true" t="shared" si="21" ref="D85:K85">D86+D87+D88</f>
        <v>2622720</v>
      </c>
      <c r="E85" s="48">
        <f t="shared" si="21"/>
        <v>0</v>
      </c>
      <c r="F85" s="48">
        <f t="shared" si="21"/>
        <v>0</v>
      </c>
      <c r="G85" s="48">
        <f t="shared" si="21"/>
        <v>0</v>
      </c>
      <c r="H85" s="48">
        <f t="shared" si="21"/>
        <v>724893</v>
      </c>
      <c r="I85" s="48">
        <f t="shared" si="21"/>
        <v>724893</v>
      </c>
      <c r="J85" s="48">
        <f t="shared" si="21"/>
        <v>574818</v>
      </c>
      <c r="K85" s="48">
        <f t="shared" si="21"/>
        <v>150075</v>
      </c>
      <c r="L85" s="250">
        <f t="shared" si="19"/>
        <v>0.21916864934114202</v>
      </c>
    </row>
    <row r="86" spans="1:12" ht="12.75">
      <c r="A86" s="537"/>
      <c r="B86" s="72" t="s">
        <v>32</v>
      </c>
      <c r="C86" s="10">
        <v>0</v>
      </c>
      <c r="D86" s="10"/>
      <c r="E86" s="10"/>
      <c r="F86" s="10"/>
      <c r="G86" s="80"/>
      <c r="H86" s="10"/>
      <c r="I86" s="10"/>
      <c r="J86" s="10"/>
      <c r="K86" s="20">
        <f>H86-J86</f>
        <v>0</v>
      </c>
      <c r="L86" s="248"/>
    </row>
    <row r="87" spans="1:12" ht="12.75">
      <c r="A87" s="537"/>
      <c r="B87" s="72" t="s">
        <v>33</v>
      </c>
      <c r="C87" s="10">
        <v>0</v>
      </c>
      <c r="D87" s="10">
        <v>0</v>
      </c>
      <c r="E87" s="10"/>
      <c r="F87" s="10"/>
      <c r="G87" s="80"/>
      <c r="H87" s="10"/>
      <c r="I87" s="10"/>
      <c r="J87" s="10"/>
      <c r="K87" s="20">
        <f>H87-J87</f>
        <v>0</v>
      </c>
      <c r="L87" s="248"/>
    </row>
    <row r="88" spans="1:12" ht="12.75">
      <c r="A88" s="538"/>
      <c r="B88" s="72" t="s">
        <v>57</v>
      </c>
      <c r="C88" s="10">
        <v>2622720</v>
      </c>
      <c r="D88" s="10">
        <v>2622720</v>
      </c>
      <c r="E88" s="10"/>
      <c r="F88" s="10"/>
      <c r="G88" s="80"/>
      <c r="H88" s="10">
        <v>724893</v>
      </c>
      <c r="I88" s="10">
        <v>724893</v>
      </c>
      <c r="J88" s="10">
        <v>574818</v>
      </c>
      <c r="K88" s="20">
        <f>H88-J88</f>
        <v>150075</v>
      </c>
      <c r="L88" s="248">
        <f>J88/C88</f>
        <v>0.21916864934114202</v>
      </c>
    </row>
    <row r="89" spans="1:12" ht="13.5" thickBot="1">
      <c r="A89" s="4" t="s">
        <v>176</v>
      </c>
      <c r="B89" s="73"/>
      <c r="C89" s="64"/>
      <c r="D89" s="64"/>
      <c r="E89" s="64"/>
      <c r="F89" s="64"/>
      <c r="G89" s="92"/>
      <c r="H89" s="64"/>
      <c r="I89" s="64"/>
      <c r="J89" s="64"/>
      <c r="K89" s="93">
        <f>H89-J89</f>
        <v>0</v>
      </c>
      <c r="L89" s="251"/>
    </row>
    <row r="90" spans="1:12" ht="13.5" thickBot="1">
      <c r="A90" s="547" t="s">
        <v>116</v>
      </c>
      <c r="B90" s="548"/>
      <c r="C90" s="548"/>
      <c r="D90" s="548"/>
      <c r="E90" s="548"/>
      <c r="F90" s="548"/>
      <c r="G90" s="548"/>
      <c r="H90" s="548"/>
      <c r="I90" s="548"/>
      <c r="J90" s="548"/>
      <c r="K90" s="548"/>
      <c r="L90" s="549"/>
    </row>
    <row r="91" spans="1:12" ht="12.75">
      <c r="A91" s="238" t="s">
        <v>35</v>
      </c>
      <c r="B91" s="239" t="s">
        <v>44</v>
      </c>
      <c r="C91" s="97">
        <f>C83</f>
        <v>1612000</v>
      </c>
      <c r="D91" s="97">
        <f aca="true" t="shared" si="22" ref="D91:K91">D83</f>
        <v>1611000</v>
      </c>
      <c r="E91" s="97">
        <f t="shared" si="22"/>
        <v>0</v>
      </c>
      <c r="F91" s="97">
        <f t="shared" si="22"/>
        <v>0</v>
      </c>
      <c r="G91" s="97">
        <f t="shared" si="22"/>
        <v>0</v>
      </c>
      <c r="H91" s="97">
        <f t="shared" si="22"/>
        <v>5890</v>
      </c>
      <c r="I91" s="97">
        <f t="shared" si="22"/>
        <v>5890</v>
      </c>
      <c r="J91" s="97">
        <f t="shared" si="22"/>
        <v>0</v>
      </c>
      <c r="K91" s="97">
        <f t="shared" si="22"/>
        <v>5890</v>
      </c>
      <c r="L91" s="425">
        <f>J91/C91</f>
        <v>0</v>
      </c>
    </row>
    <row r="92" spans="1:12" ht="12.75">
      <c r="A92" s="238" t="s">
        <v>36</v>
      </c>
      <c r="B92" s="239" t="s">
        <v>33</v>
      </c>
      <c r="C92" s="97">
        <f>C80+C75</f>
        <v>6030000</v>
      </c>
      <c r="D92" s="97">
        <f aca="true" t="shared" si="23" ref="D92:K92">D80+D75</f>
        <v>6030000</v>
      </c>
      <c r="E92" s="97">
        <f t="shared" si="23"/>
        <v>0</v>
      </c>
      <c r="F92" s="97">
        <f t="shared" si="23"/>
        <v>0</v>
      </c>
      <c r="G92" s="97">
        <f t="shared" si="23"/>
        <v>0</v>
      </c>
      <c r="H92" s="97">
        <f t="shared" si="23"/>
        <v>4343558</v>
      </c>
      <c r="I92" s="97">
        <f t="shared" si="23"/>
        <v>4343558</v>
      </c>
      <c r="J92" s="97">
        <f t="shared" si="23"/>
        <v>4268479</v>
      </c>
      <c r="K92" s="97">
        <f t="shared" si="23"/>
        <v>75079</v>
      </c>
      <c r="L92" s="425">
        <f>J92/C92</f>
        <v>0.7078737976782753</v>
      </c>
    </row>
    <row r="93" spans="1:12" ht="12.75">
      <c r="A93" s="238" t="s">
        <v>273</v>
      </c>
      <c r="B93" s="239" t="s">
        <v>31</v>
      </c>
      <c r="C93" s="97">
        <f>C76</f>
        <v>250000</v>
      </c>
      <c r="D93" s="97">
        <f aca="true" t="shared" si="24" ref="D93:L93">D76</f>
        <v>250000</v>
      </c>
      <c r="E93" s="97">
        <f t="shared" si="24"/>
        <v>0</v>
      </c>
      <c r="F93" s="97">
        <f t="shared" si="24"/>
        <v>0</v>
      </c>
      <c r="G93" s="97">
        <f t="shared" si="24"/>
        <v>0</v>
      </c>
      <c r="H93" s="97">
        <f t="shared" si="24"/>
        <v>0</v>
      </c>
      <c r="I93" s="97">
        <f t="shared" si="24"/>
        <v>0</v>
      </c>
      <c r="J93" s="97">
        <f t="shared" si="24"/>
        <v>0</v>
      </c>
      <c r="K93" s="97">
        <f t="shared" si="24"/>
        <v>0</v>
      </c>
      <c r="L93" s="97">
        <f t="shared" si="24"/>
        <v>0</v>
      </c>
    </row>
    <row r="94" spans="1:12" ht="12.75">
      <c r="A94" s="33" t="s">
        <v>50</v>
      </c>
      <c r="B94" s="45" t="s">
        <v>32</v>
      </c>
      <c r="C94" s="11">
        <f>C86</f>
        <v>0</v>
      </c>
      <c r="D94" s="11">
        <f aca="true" t="shared" si="25" ref="D94:L94">D86</f>
        <v>0</v>
      </c>
      <c r="E94" s="11">
        <f t="shared" si="25"/>
        <v>0</v>
      </c>
      <c r="F94" s="11">
        <f t="shared" si="25"/>
        <v>0</v>
      </c>
      <c r="G94" s="11">
        <f t="shared" si="25"/>
        <v>0</v>
      </c>
      <c r="H94" s="11">
        <f t="shared" si="25"/>
        <v>0</v>
      </c>
      <c r="I94" s="11">
        <f t="shared" si="25"/>
        <v>0</v>
      </c>
      <c r="J94" s="11">
        <f t="shared" si="25"/>
        <v>0</v>
      </c>
      <c r="K94" s="11">
        <f t="shared" si="25"/>
        <v>0</v>
      </c>
      <c r="L94" s="11">
        <f t="shared" si="25"/>
        <v>0</v>
      </c>
    </row>
    <row r="95" spans="1:12" ht="13.5" thickBot="1">
      <c r="A95" s="14" t="s">
        <v>121</v>
      </c>
      <c r="B95" s="74" t="s">
        <v>57</v>
      </c>
      <c r="C95" s="15">
        <f>C88+C81+C84</f>
        <v>16649320</v>
      </c>
      <c r="D95" s="15">
        <f aca="true" t="shared" si="26" ref="D95:K95">D88+D81+D84</f>
        <v>16649320</v>
      </c>
      <c r="E95" s="15">
        <f t="shared" si="26"/>
        <v>0</v>
      </c>
      <c r="F95" s="15">
        <f t="shared" si="26"/>
        <v>0</v>
      </c>
      <c r="G95" s="15">
        <f t="shared" si="26"/>
        <v>0</v>
      </c>
      <c r="H95" s="15">
        <f t="shared" si="26"/>
        <v>5201266</v>
      </c>
      <c r="I95" s="15">
        <f t="shared" si="26"/>
        <v>5201266</v>
      </c>
      <c r="J95" s="15">
        <f t="shared" si="26"/>
        <v>4986617</v>
      </c>
      <c r="K95" s="15">
        <f t="shared" si="26"/>
        <v>214649</v>
      </c>
      <c r="L95" s="425">
        <f>J95/C95</f>
        <v>0.29950874870565286</v>
      </c>
    </row>
    <row r="96" spans="1:12" ht="24.75" customHeight="1" thickBot="1">
      <c r="A96" s="318" t="s">
        <v>122</v>
      </c>
      <c r="B96" s="88" t="s">
        <v>152</v>
      </c>
      <c r="C96" s="319">
        <f>C99+C102</f>
        <v>183200</v>
      </c>
      <c r="D96" s="319">
        <f aca="true" t="shared" si="27" ref="D96:J96">D99+D102</f>
        <v>183200</v>
      </c>
      <c r="E96" s="319">
        <f t="shared" si="27"/>
        <v>0</v>
      </c>
      <c r="F96" s="319">
        <f t="shared" si="27"/>
        <v>0</v>
      </c>
      <c r="G96" s="319">
        <f t="shared" si="27"/>
        <v>0</v>
      </c>
      <c r="H96" s="319">
        <f t="shared" si="27"/>
        <v>89726</v>
      </c>
      <c r="I96" s="319">
        <f t="shared" si="27"/>
        <v>89726</v>
      </c>
      <c r="J96" s="319">
        <f t="shared" si="27"/>
        <v>77225</v>
      </c>
      <c r="K96" s="52">
        <f>K97+K98+K100+K102+K103</f>
        <v>12501</v>
      </c>
      <c r="L96" s="316">
        <f>J96/C96</f>
        <v>0.4215338427947598</v>
      </c>
    </row>
    <row r="97" spans="1:12" ht="12.75">
      <c r="A97" s="312" t="s">
        <v>173</v>
      </c>
      <c r="B97" s="91"/>
      <c r="C97" s="65">
        <f>D97+E97+F97+G97</f>
        <v>0</v>
      </c>
      <c r="D97" s="65"/>
      <c r="E97" s="65"/>
      <c r="F97" s="65"/>
      <c r="G97" s="313"/>
      <c r="H97" s="65"/>
      <c r="I97" s="65"/>
      <c r="J97" s="65"/>
      <c r="K97" s="314">
        <f>H97-J97</f>
        <v>0</v>
      </c>
      <c r="L97" s="315"/>
    </row>
    <row r="98" spans="1:12" ht="12.75">
      <c r="A98" s="1" t="s">
        <v>174</v>
      </c>
      <c r="B98" s="55"/>
      <c r="C98" s="10">
        <f>D98+E98+F98+G98</f>
        <v>0</v>
      </c>
      <c r="D98" s="10"/>
      <c r="E98" s="10"/>
      <c r="F98" s="10"/>
      <c r="G98" s="80"/>
      <c r="H98" s="10"/>
      <c r="I98" s="10"/>
      <c r="J98" s="10"/>
      <c r="K98" s="20">
        <f>H98-J98</f>
        <v>0</v>
      </c>
      <c r="L98" s="248"/>
    </row>
    <row r="99" spans="1:12" ht="12.75">
      <c r="A99" s="513" t="s">
        <v>233</v>
      </c>
      <c r="B99" s="269" t="s">
        <v>152</v>
      </c>
      <c r="C99" s="263">
        <f>C100+C101</f>
        <v>33500</v>
      </c>
      <c r="D99" s="263">
        <f aca="true" t="shared" si="28" ref="D99:K99">D100+D101</f>
        <v>33500</v>
      </c>
      <c r="E99" s="263">
        <f t="shared" si="28"/>
        <v>0</v>
      </c>
      <c r="F99" s="263">
        <f t="shared" si="28"/>
        <v>0</v>
      </c>
      <c r="G99" s="263">
        <f t="shared" si="28"/>
        <v>0</v>
      </c>
      <c r="H99" s="263">
        <f t="shared" si="28"/>
        <v>7928</v>
      </c>
      <c r="I99" s="263">
        <f t="shared" si="28"/>
        <v>7928</v>
      </c>
      <c r="J99" s="263">
        <f t="shared" si="28"/>
        <v>7928</v>
      </c>
      <c r="K99" s="263">
        <f t="shared" si="28"/>
        <v>0</v>
      </c>
      <c r="L99" s="270">
        <f>J99/C99</f>
        <v>0.23665671641791045</v>
      </c>
    </row>
    <row r="100" spans="1:12" ht="12.75">
      <c r="A100" s="514"/>
      <c r="B100" s="53" t="s">
        <v>202</v>
      </c>
      <c r="C100" s="11">
        <v>10500</v>
      </c>
      <c r="D100" s="11">
        <v>10500</v>
      </c>
      <c r="E100" s="11"/>
      <c r="F100" s="11"/>
      <c r="G100" s="83"/>
      <c r="H100" s="11">
        <v>7928</v>
      </c>
      <c r="I100" s="11">
        <v>7928</v>
      </c>
      <c r="J100" s="11">
        <v>7928</v>
      </c>
      <c r="K100" s="60">
        <f>H100-J100</f>
        <v>0</v>
      </c>
      <c r="L100" s="254">
        <f>J100/C100</f>
        <v>0.7550476190476191</v>
      </c>
    </row>
    <row r="101" spans="1:12" ht="12.75">
      <c r="A101" s="515"/>
      <c r="B101" s="53" t="s">
        <v>65</v>
      </c>
      <c r="C101" s="11">
        <v>23000</v>
      </c>
      <c r="D101" s="11">
        <v>23000</v>
      </c>
      <c r="E101" s="11"/>
      <c r="F101" s="11"/>
      <c r="G101" s="83"/>
      <c r="H101" s="11"/>
      <c r="I101" s="11"/>
      <c r="J101" s="11"/>
      <c r="K101" s="60">
        <f>H101-J101</f>
        <v>0</v>
      </c>
      <c r="L101" s="254"/>
    </row>
    <row r="102" spans="1:12" ht="12.75">
      <c r="A102" s="47" t="s">
        <v>175</v>
      </c>
      <c r="B102" s="68" t="s">
        <v>202</v>
      </c>
      <c r="C102" s="48">
        <v>149700</v>
      </c>
      <c r="D102" s="48">
        <v>149700</v>
      </c>
      <c r="E102" s="48"/>
      <c r="F102" s="48"/>
      <c r="G102" s="81"/>
      <c r="H102" s="48">
        <v>81798</v>
      </c>
      <c r="I102" s="48">
        <v>81798</v>
      </c>
      <c r="J102" s="48">
        <v>69297</v>
      </c>
      <c r="K102" s="62">
        <f>H102-J102</f>
        <v>12501</v>
      </c>
      <c r="L102" s="250">
        <f>J102/C102</f>
        <v>0.4629058116232465</v>
      </c>
    </row>
    <row r="103" spans="1:12" ht="12.75">
      <c r="A103" s="4" t="s">
        <v>176</v>
      </c>
      <c r="B103" s="69"/>
      <c r="C103" s="64"/>
      <c r="D103" s="64"/>
      <c r="E103" s="64"/>
      <c r="F103" s="64"/>
      <c r="G103" s="92"/>
      <c r="H103" s="64"/>
      <c r="I103" s="64"/>
      <c r="J103" s="64"/>
      <c r="K103" s="93">
        <f>H103-J103</f>
        <v>0</v>
      </c>
      <c r="L103" s="251"/>
    </row>
    <row r="104" spans="1:12" ht="12.75">
      <c r="A104" s="508" t="s">
        <v>116</v>
      </c>
      <c r="B104" s="509"/>
      <c r="C104" s="509"/>
      <c r="D104" s="509"/>
      <c r="E104" s="509"/>
      <c r="F104" s="509"/>
      <c r="G104" s="509"/>
      <c r="H104" s="509"/>
      <c r="I104" s="509"/>
      <c r="J104" s="509"/>
      <c r="K104" s="509"/>
      <c r="L104" s="510"/>
    </row>
    <row r="105" spans="1:12" ht="13.5" thickBot="1">
      <c r="A105" s="240" t="s">
        <v>277</v>
      </c>
      <c r="B105" s="53" t="s">
        <v>65</v>
      </c>
      <c r="C105" s="11">
        <f>C101</f>
        <v>23000</v>
      </c>
      <c r="D105" s="11">
        <f aca="true" t="shared" si="29" ref="D105:K105">D101</f>
        <v>23000</v>
      </c>
      <c r="E105" s="11">
        <f t="shared" si="29"/>
        <v>0</v>
      </c>
      <c r="F105" s="11">
        <f t="shared" si="29"/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366"/>
    </row>
    <row r="106" spans="1:12" ht="13.5" thickBot="1">
      <c r="A106" s="320" t="s">
        <v>123</v>
      </c>
      <c r="B106" s="53" t="s">
        <v>202</v>
      </c>
      <c r="C106" s="11">
        <f>C102+C100</f>
        <v>160200</v>
      </c>
      <c r="D106" s="11">
        <f aca="true" t="shared" si="30" ref="D106:K106">D102+D100</f>
        <v>160200</v>
      </c>
      <c r="E106" s="11">
        <f t="shared" si="30"/>
        <v>0</v>
      </c>
      <c r="F106" s="11">
        <f t="shared" si="30"/>
        <v>0</v>
      </c>
      <c r="G106" s="11">
        <f t="shared" si="30"/>
        <v>0</v>
      </c>
      <c r="H106" s="11">
        <f t="shared" si="30"/>
        <v>89726</v>
      </c>
      <c r="I106" s="11">
        <f t="shared" si="30"/>
        <v>89726</v>
      </c>
      <c r="J106" s="11">
        <f t="shared" si="30"/>
        <v>77225</v>
      </c>
      <c r="K106" s="11">
        <f t="shared" si="30"/>
        <v>12501</v>
      </c>
      <c r="L106" s="366">
        <f>J106/C106</f>
        <v>0.4820536828963795</v>
      </c>
    </row>
    <row r="107" spans="1:12" ht="24.75" customHeight="1" thickBot="1">
      <c r="A107" s="318" t="s">
        <v>124</v>
      </c>
      <c r="B107" s="363" t="s">
        <v>152</v>
      </c>
      <c r="C107" s="364">
        <f>C110+C117+C122+C114</f>
        <v>80589676</v>
      </c>
      <c r="D107" s="364">
        <f aca="true" t="shared" si="31" ref="D107:K107">D110+D117+D122+D114</f>
        <v>76981440</v>
      </c>
      <c r="E107" s="364">
        <f t="shared" si="31"/>
        <v>0</v>
      </c>
      <c r="F107" s="364">
        <f t="shared" si="31"/>
        <v>0</v>
      </c>
      <c r="G107" s="364">
        <f t="shared" si="31"/>
        <v>0</v>
      </c>
      <c r="H107" s="364">
        <f t="shared" si="31"/>
        <v>61440670</v>
      </c>
      <c r="I107" s="364">
        <f t="shared" si="31"/>
        <v>61440670</v>
      </c>
      <c r="J107" s="364">
        <f t="shared" si="31"/>
        <v>47644135</v>
      </c>
      <c r="K107" s="364">
        <f t="shared" si="31"/>
        <v>13796535</v>
      </c>
      <c r="L107" s="365">
        <f>J107/C107</f>
        <v>0.5911940258948305</v>
      </c>
    </row>
    <row r="108" spans="1:12" ht="12.75">
      <c r="A108" s="312" t="s">
        <v>173</v>
      </c>
      <c r="B108" s="78"/>
      <c r="C108" s="65">
        <f>D108+E108+F108+G108</f>
        <v>0</v>
      </c>
      <c r="D108" s="65"/>
      <c r="E108" s="65"/>
      <c r="F108" s="65"/>
      <c r="G108" s="313"/>
      <c r="H108" s="65"/>
      <c r="I108" s="65"/>
      <c r="J108" s="65"/>
      <c r="K108" s="314">
        <f>H108-J108</f>
        <v>0</v>
      </c>
      <c r="L108" s="321"/>
    </row>
    <row r="109" spans="1:12" ht="12.75">
      <c r="A109" s="1" t="s">
        <v>174</v>
      </c>
      <c r="B109" s="72"/>
      <c r="C109" s="10"/>
      <c r="D109" s="10"/>
      <c r="E109" s="10"/>
      <c r="F109" s="10"/>
      <c r="G109" s="80"/>
      <c r="H109" s="10"/>
      <c r="I109" s="10"/>
      <c r="J109" s="10"/>
      <c r="K109" s="20">
        <f>H109-J109</f>
        <v>0</v>
      </c>
      <c r="L109" s="257"/>
    </row>
    <row r="110" spans="1:12" ht="12.75">
      <c r="A110" s="513" t="s">
        <v>233</v>
      </c>
      <c r="B110" s="45" t="s">
        <v>201</v>
      </c>
      <c r="C110" s="11">
        <f>C111+C112+C113</f>
        <v>27756052</v>
      </c>
      <c r="D110" s="11">
        <f aca="true" t="shared" si="32" ref="D110:K110">D111+D112+D113</f>
        <v>27622452</v>
      </c>
      <c r="E110" s="11">
        <f t="shared" si="32"/>
        <v>0</v>
      </c>
      <c r="F110" s="11">
        <f t="shared" si="32"/>
        <v>0</v>
      </c>
      <c r="G110" s="11">
        <f t="shared" si="32"/>
        <v>0</v>
      </c>
      <c r="H110" s="11">
        <f t="shared" si="32"/>
        <v>24619779</v>
      </c>
      <c r="I110" s="11">
        <f t="shared" si="32"/>
        <v>24619779</v>
      </c>
      <c r="J110" s="11">
        <f t="shared" si="32"/>
        <v>18157750</v>
      </c>
      <c r="K110" s="60">
        <f t="shared" si="32"/>
        <v>6462029</v>
      </c>
      <c r="L110" s="254">
        <f aca="true" t="shared" si="33" ref="L110:L117">J110/C110</f>
        <v>0.6541906608331761</v>
      </c>
    </row>
    <row r="111" spans="1:12" ht="12.75">
      <c r="A111" s="514"/>
      <c r="B111" s="75" t="s">
        <v>81</v>
      </c>
      <c r="C111" s="10">
        <v>867600</v>
      </c>
      <c r="D111" s="10">
        <f>235900+268400+229700</f>
        <v>734000</v>
      </c>
      <c r="E111" s="10"/>
      <c r="F111" s="10"/>
      <c r="G111" s="80"/>
      <c r="H111" s="10">
        <v>734000</v>
      </c>
      <c r="I111" s="10">
        <v>734000</v>
      </c>
      <c r="J111" s="10">
        <v>734000</v>
      </c>
      <c r="K111" s="20">
        <f>H111-J111</f>
        <v>0</v>
      </c>
      <c r="L111" s="257">
        <f t="shared" si="33"/>
        <v>0.8460119870908253</v>
      </c>
    </row>
    <row r="112" spans="1:12" ht="12.75">
      <c r="A112" s="514"/>
      <c r="B112" s="75" t="s">
        <v>98</v>
      </c>
      <c r="C112" s="10">
        <v>5950452</v>
      </c>
      <c r="D112" s="10">
        <v>5950452</v>
      </c>
      <c r="E112" s="10"/>
      <c r="F112" s="10"/>
      <c r="G112" s="80"/>
      <c r="H112" s="10">
        <f>1636623+241011+575441+971366+1000</f>
        <v>3425441</v>
      </c>
      <c r="I112" s="10">
        <v>3425441</v>
      </c>
      <c r="J112" s="10">
        <f>1374217+1041811+183347-1</f>
        <v>2599374</v>
      </c>
      <c r="K112" s="20">
        <f>H112-J112</f>
        <v>826067</v>
      </c>
      <c r="L112" s="257">
        <f t="shared" si="33"/>
        <v>0.4368363949494929</v>
      </c>
    </row>
    <row r="113" spans="1:12" ht="13.5" thickBot="1">
      <c r="A113" s="514"/>
      <c r="B113" s="75" t="s">
        <v>75</v>
      </c>
      <c r="C113" s="10">
        <v>20938000</v>
      </c>
      <c r="D113" s="10">
        <v>20938000</v>
      </c>
      <c r="E113" s="10"/>
      <c r="F113" s="10"/>
      <c r="G113" s="80"/>
      <c r="H113" s="10">
        <f>20453535+6803</f>
        <v>20460338</v>
      </c>
      <c r="I113" s="10">
        <v>20460338</v>
      </c>
      <c r="J113" s="10">
        <f>3810+672+4432806+6444449+3942639</f>
        <v>14824376</v>
      </c>
      <c r="K113" s="20">
        <f>H113-J113</f>
        <v>5635962</v>
      </c>
      <c r="L113" s="257">
        <f t="shared" si="33"/>
        <v>0.7080129907345496</v>
      </c>
    </row>
    <row r="114" spans="1:12" ht="12.75">
      <c r="A114" s="505" t="s">
        <v>265</v>
      </c>
      <c r="B114" s="418" t="s">
        <v>263</v>
      </c>
      <c r="C114" s="419">
        <f>C115+C116</f>
        <v>3225754</v>
      </c>
      <c r="D114" s="419">
        <f aca="true" t="shared" si="34" ref="D114:K114">D115+D116</f>
        <v>2976094</v>
      </c>
      <c r="E114" s="419">
        <f t="shared" si="34"/>
        <v>0</v>
      </c>
      <c r="F114" s="419">
        <f t="shared" si="34"/>
        <v>0</v>
      </c>
      <c r="G114" s="419">
        <f t="shared" si="34"/>
        <v>0</v>
      </c>
      <c r="H114" s="419">
        <f t="shared" si="34"/>
        <v>507095</v>
      </c>
      <c r="I114" s="419">
        <f t="shared" si="34"/>
        <v>507095</v>
      </c>
      <c r="J114" s="419">
        <f t="shared" si="34"/>
        <v>6500</v>
      </c>
      <c r="K114" s="419">
        <f t="shared" si="34"/>
        <v>500595</v>
      </c>
      <c r="L114" s="420">
        <f>J114/C114</f>
        <v>0.0020150327644327497</v>
      </c>
    </row>
    <row r="115" spans="1:12" ht="12.75">
      <c r="A115" s="506"/>
      <c r="B115" s="267" t="s">
        <v>98</v>
      </c>
      <c r="C115" s="10">
        <v>2393554</v>
      </c>
      <c r="D115" s="10">
        <v>2393554</v>
      </c>
      <c r="E115" s="10"/>
      <c r="F115" s="10"/>
      <c r="G115" s="80"/>
      <c r="H115" s="10">
        <f>500+99270+68698+500+500+500+93201+500+87251+500+500+63585+91090</f>
        <v>506595</v>
      </c>
      <c r="I115" s="10">
        <v>506595</v>
      </c>
      <c r="J115" s="10">
        <v>6000</v>
      </c>
      <c r="K115" s="80">
        <f>I115-J115</f>
        <v>500595</v>
      </c>
      <c r="L115" s="257">
        <f>J115/C115</f>
        <v>0.002506732666152508</v>
      </c>
    </row>
    <row r="116" spans="1:12" ht="13.5" thickBot="1">
      <c r="A116" s="507"/>
      <c r="B116" s="267" t="s">
        <v>75</v>
      </c>
      <c r="C116" s="10">
        <v>832200</v>
      </c>
      <c r="D116" s="10">
        <f>83220+249660+249660</f>
        <v>582540</v>
      </c>
      <c r="E116" s="10"/>
      <c r="F116" s="10"/>
      <c r="G116" s="80"/>
      <c r="H116" s="10">
        <v>500</v>
      </c>
      <c r="I116" s="10">
        <v>500</v>
      </c>
      <c r="J116" s="10">
        <v>500</v>
      </c>
      <c r="K116" s="80">
        <f>I116-J116</f>
        <v>0</v>
      </c>
      <c r="L116" s="257">
        <f>J116/C116</f>
        <v>0.000600817111271329</v>
      </c>
    </row>
    <row r="117" spans="1:12" ht="12.75">
      <c r="A117" s="528" t="s">
        <v>125</v>
      </c>
      <c r="B117" s="266" t="s">
        <v>201</v>
      </c>
      <c r="C117" s="16">
        <f>C118+C119+C120+C121</f>
        <v>49607870</v>
      </c>
      <c r="D117" s="16">
        <f aca="true" t="shared" si="35" ref="D117:K117">D118+D119+D120+D121</f>
        <v>46382894</v>
      </c>
      <c r="E117" s="16">
        <f t="shared" si="35"/>
        <v>0</v>
      </c>
      <c r="F117" s="16">
        <f t="shared" si="35"/>
        <v>0</v>
      </c>
      <c r="G117" s="16">
        <f t="shared" si="35"/>
        <v>0</v>
      </c>
      <c r="H117" s="16">
        <f t="shared" si="35"/>
        <v>36313796</v>
      </c>
      <c r="I117" s="16">
        <f t="shared" si="35"/>
        <v>36313796</v>
      </c>
      <c r="J117" s="16">
        <f t="shared" si="35"/>
        <v>29479885</v>
      </c>
      <c r="K117" s="16">
        <f t="shared" si="35"/>
        <v>6833911</v>
      </c>
      <c r="L117" s="274">
        <f t="shared" si="33"/>
        <v>0.5942582295913935</v>
      </c>
    </row>
    <row r="118" spans="1:12" ht="12.75">
      <c r="A118" s="529"/>
      <c r="B118" s="228" t="s">
        <v>81</v>
      </c>
      <c r="C118" s="35">
        <v>28337000</v>
      </c>
      <c r="D118" s="35">
        <v>27337000</v>
      </c>
      <c r="E118" s="35"/>
      <c r="F118" s="35"/>
      <c r="G118" s="36"/>
      <c r="H118" s="35">
        <v>24604945</v>
      </c>
      <c r="I118" s="35">
        <v>24604945</v>
      </c>
      <c r="J118" s="35">
        <f>21468075+22712</f>
        <v>21490787</v>
      </c>
      <c r="K118" s="20">
        <f>H118-J118</f>
        <v>3114158</v>
      </c>
      <c r="L118" s="248">
        <f>J118/C118</f>
        <v>0.7584002187952147</v>
      </c>
    </row>
    <row r="119" spans="1:12" ht="12.75">
      <c r="A119" s="529"/>
      <c r="B119" s="267" t="s">
        <v>98</v>
      </c>
      <c r="C119" s="10">
        <v>0</v>
      </c>
      <c r="D119" s="10">
        <v>0</v>
      </c>
      <c r="E119" s="10"/>
      <c r="F119" s="10"/>
      <c r="G119" s="80"/>
      <c r="H119" s="34"/>
      <c r="I119" s="34"/>
      <c r="J119" s="10"/>
      <c r="K119" s="20">
        <f>H119-J119</f>
        <v>0</v>
      </c>
      <c r="L119" s="248"/>
    </row>
    <row r="120" spans="1:12" ht="12.75">
      <c r="A120" s="529"/>
      <c r="B120" s="267" t="s">
        <v>74</v>
      </c>
      <c r="C120" s="10">
        <v>10155000</v>
      </c>
      <c r="D120" s="10">
        <f>2413519+2370000+3359481</f>
        <v>8143000</v>
      </c>
      <c r="E120" s="10"/>
      <c r="F120" s="10"/>
      <c r="G120" s="80"/>
      <c r="H120" s="10">
        <v>8829790</v>
      </c>
      <c r="I120" s="10">
        <v>8829790</v>
      </c>
      <c r="J120" s="10">
        <f>6297992</f>
        <v>6297992</v>
      </c>
      <c r="K120" s="20">
        <f>H120-J120</f>
        <v>2531798</v>
      </c>
      <c r="L120" s="248">
        <f>J120/C120</f>
        <v>0.6201863121614968</v>
      </c>
    </row>
    <row r="121" spans="1:12" ht="13.5" thickBot="1">
      <c r="A121" s="530"/>
      <c r="B121" s="267" t="s">
        <v>75</v>
      </c>
      <c r="C121" s="10">
        <v>11115870</v>
      </c>
      <c r="D121" s="10">
        <f>1840667+4471789+4590438</f>
        <v>10902894</v>
      </c>
      <c r="E121" s="10"/>
      <c r="F121" s="10"/>
      <c r="G121" s="80"/>
      <c r="H121" s="10">
        <v>2879061</v>
      </c>
      <c r="I121" s="10">
        <v>2879061</v>
      </c>
      <c r="J121" s="10">
        <f>1690106+1000</f>
        <v>1691106</v>
      </c>
      <c r="K121" s="20">
        <f>H121-J121</f>
        <v>1187955</v>
      </c>
      <c r="L121" s="248">
        <f>J121/C121</f>
        <v>0.15213438084468422</v>
      </c>
    </row>
    <row r="122" spans="1:12" ht="13.5" thickBot="1">
      <c r="A122" s="268" t="s">
        <v>171</v>
      </c>
      <c r="B122" s="73"/>
      <c r="C122" s="64"/>
      <c r="D122" s="64"/>
      <c r="E122" s="64"/>
      <c r="F122" s="64"/>
      <c r="G122" s="92"/>
      <c r="H122" s="241"/>
      <c r="I122" s="241"/>
      <c r="J122" s="241"/>
      <c r="K122" s="93"/>
      <c r="L122" s="93"/>
    </row>
    <row r="123" spans="1:12" ht="13.5" thickBot="1">
      <c r="A123" s="517" t="s">
        <v>116</v>
      </c>
      <c r="B123" s="518"/>
      <c r="C123" s="518"/>
      <c r="D123" s="518"/>
      <c r="E123" s="518"/>
      <c r="F123" s="518"/>
      <c r="G123" s="518"/>
      <c r="H123" s="518"/>
      <c r="I123" s="518"/>
      <c r="J123" s="518"/>
      <c r="K123" s="518"/>
      <c r="L123" s="519"/>
    </row>
    <row r="124" spans="1:12" ht="12.75">
      <c r="A124" s="242" t="s">
        <v>78</v>
      </c>
      <c r="B124" s="85" t="s">
        <v>81</v>
      </c>
      <c r="C124" s="97">
        <f>C118+C111</f>
        <v>29204600</v>
      </c>
      <c r="D124" s="97">
        <f aca="true" t="shared" si="36" ref="D124:K124">D118+D111</f>
        <v>28071000</v>
      </c>
      <c r="E124" s="97">
        <f t="shared" si="36"/>
        <v>0</v>
      </c>
      <c r="F124" s="97">
        <f t="shared" si="36"/>
        <v>0</v>
      </c>
      <c r="G124" s="97">
        <f t="shared" si="36"/>
        <v>0</v>
      </c>
      <c r="H124" s="97">
        <f t="shared" si="36"/>
        <v>25338945</v>
      </c>
      <c r="I124" s="97">
        <f t="shared" si="36"/>
        <v>25338945</v>
      </c>
      <c r="J124" s="97">
        <f t="shared" si="36"/>
        <v>22224787</v>
      </c>
      <c r="K124" s="97">
        <f t="shared" si="36"/>
        <v>3114158</v>
      </c>
      <c r="L124" s="425">
        <f>J124/C124</f>
        <v>0.7610029584380543</v>
      </c>
    </row>
    <row r="125" spans="1:12" ht="12.75">
      <c r="A125" s="6" t="s">
        <v>77</v>
      </c>
      <c r="B125" s="76" t="s">
        <v>98</v>
      </c>
      <c r="C125" s="11">
        <f>C119+C112</f>
        <v>5950452</v>
      </c>
      <c r="D125" s="11">
        <f aca="true" t="shared" si="37" ref="D125:K125">D119+D112</f>
        <v>5950452</v>
      </c>
      <c r="E125" s="11">
        <f t="shared" si="37"/>
        <v>0</v>
      </c>
      <c r="F125" s="11">
        <f t="shared" si="37"/>
        <v>0</v>
      </c>
      <c r="G125" s="11">
        <f t="shared" si="37"/>
        <v>0</v>
      </c>
      <c r="H125" s="11">
        <f t="shared" si="37"/>
        <v>3425441</v>
      </c>
      <c r="I125" s="11">
        <f t="shared" si="37"/>
        <v>3425441</v>
      </c>
      <c r="J125" s="11">
        <f t="shared" si="37"/>
        <v>2599374</v>
      </c>
      <c r="K125" s="60">
        <f t="shared" si="37"/>
        <v>826067</v>
      </c>
      <c r="L125" s="254">
        <f>J125/C125</f>
        <v>0.4368363949494929</v>
      </c>
    </row>
    <row r="126" spans="1:12" ht="12.75">
      <c r="A126" s="6" t="s">
        <v>79</v>
      </c>
      <c r="B126" s="76" t="s">
        <v>74</v>
      </c>
      <c r="C126" s="11">
        <f>C120</f>
        <v>10155000</v>
      </c>
      <c r="D126" s="11">
        <f aca="true" t="shared" si="38" ref="D126:J126">D120</f>
        <v>8143000</v>
      </c>
      <c r="E126" s="11">
        <f t="shared" si="38"/>
        <v>0</v>
      </c>
      <c r="F126" s="11">
        <f t="shared" si="38"/>
        <v>0</v>
      </c>
      <c r="G126" s="11">
        <f t="shared" si="38"/>
        <v>0</v>
      </c>
      <c r="H126" s="11">
        <f t="shared" si="38"/>
        <v>8829790</v>
      </c>
      <c r="I126" s="11">
        <f t="shared" si="38"/>
        <v>8829790</v>
      </c>
      <c r="J126" s="11">
        <f t="shared" si="38"/>
        <v>6297992</v>
      </c>
      <c r="K126" s="60">
        <f>H126-J126</f>
        <v>2531798</v>
      </c>
      <c r="L126" s="254">
        <f>J126/C126</f>
        <v>0.6201863121614968</v>
      </c>
    </row>
    <row r="127" spans="1:12" ht="12.75">
      <c r="A127" s="63" t="s">
        <v>126</v>
      </c>
      <c r="B127" s="76" t="s">
        <v>75</v>
      </c>
      <c r="C127" s="11">
        <f>C121+C113</f>
        <v>32053870</v>
      </c>
      <c r="D127" s="11">
        <f aca="true" t="shared" si="39" ref="D127:K127">D121+D113</f>
        <v>31840894</v>
      </c>
      <c r="E127" s="11">
        <f t="shared" si="39"/>
        <v>0</v>
      </c>
      <c r="F127" s="11">
        <f t="shared" si="39"/>
        <v>0</v>
      </c>
      <c r="G127" s="11">
        <f t="shared" si="39"/>
        <v>0</v>
      </c>
      <c r="H127" s="11">
        <f t="shared" si="39"/>
        <v>23339399</v>
      </c>
      <c r="I127" s="11">
        <f t="shared" si="39"/>
        <v>23339399</v>
      </c>
      <c r="J127" s="11">
        <f t="shared" si="39"/>
        <v>16515482</v>
      </c>
      <c r="K127" s="60">
        <f t="shared" si="39"/>
        <v>6823917</v>
      </c>
      <c r="L127" s="254">
        <f>L121+L113</f>
        <v>0.8601473715792338</v>
      </c>
    </row>
    <row r="128" spans="1:12" ht="12.75">
      <c r="A128" s="46" t="s">
        <v>176</v>
      </c>
      <c r="B128" s="85"/>
      <c r="C128" s="15"/>
      <c r="D128" s="15"/>
      <c r="E128" s="15"/>
      <c r="F128" s="15"/>
      <c r="G128" s="15"/>
      <c r="H128" s="86">
        <f>H122</f>
        <v>0</v>
      </c>
      <c r="I128" s="86">
        <f>I122</f>
        <v>0</v>
      </c>
      <c r="J128" s="86">
        <f>J122</f>
        <v>0</v>
      </c>
      <c r="K128" s="61"/>
      <c r="L128" s="258"/>
    </row>
    <row r="129" spans="1:12" ht="12.75">
      <c r="A129" s="17" t="s">
        <v>179</v>
      </c>
      <c r="B129" s="25" t="s">
        <v>152</v>
      </c>
      <c r="C129" s="27">
        <f>C130</f>
        <v>11000</v>
      </c>
      <c r="D129" s="27">
        <f aca="true" t="shared" si="40" ref="D129:K129">D130</f>
        <v>11000</v>
      </c>
      <c r="E129" s="27">
        <f t="shared" si="40"/>
        <v>0</v>
      </c>
      <c r="F129" s="27">
        <f t="shared" si="40"/>
        <v>0</v>
      </c>
      <c r="G129" s="27">
        <f t="shared" si="40"/>
        <v>0</v>
      </c>
      <c r="H129" s="27">
        <f t="shared" si="40"/>
        <v>0</v>
      </c>
      <c r="I129" s="27">
        <f t="shared" si="40"/>
        <v>0</v>
      </c>
      <c r="J129" s="27">
        <f t="shared" si="40"/>
        <v>0</v>
      </c>
      <c r="K129" s="27">
        <f t="shared" si="40"/>
        <v>0</v>
      </c>
      <c r="L129" s="252">
        <f>J129/C129</f>
        <v>0</v>
      </c>
    </row>
    <row r="130" spans="1:12" ht="12.75">
      <c r="A130" s="513" t="s">
        <v>233</v>
      </c>
      <c r="B130" s="226" t="s">
        <v>201</v>
      </c>
      <c r="C130" s="227">
        <f>C131+C132</f>
        <v>11000</v>
      </c>
      <c r="D130" s="227">
        <f aca="true" t="shared" si="41" ref="D130:K130">D131+D132</f>
        <v>11000</v>
      </c>
      <c r="E130" s="227">
        <f t="shared" si="41"/>
        <v>0</v>
      </c>
      <c r="F130" s="227">
        <f t="shared" si="41"/>
        <v>0</v>
      </c>
      <c r="G130" s="227">
        <f t="shared" si="41"/>
        <v>0</v>
      </c>
      <c r="H130" s="227">
        <f t="shared" si="41"/>
        <v>0</v>
      </c>
      <c r="I130" s="227">
        <f t="shared" si="41"/>
        <v>0</v>
      </c>
      <c r="J130" s="227">
        <f t="shared" si="41"/>
        <v>0</v>
      </c>
      <c r="K130" s="227">
        <f t="shared" si="41"/>
        <v>0</v>
      </c>
      <c r="L130" s="275">
        <f>J130/C130</f>
        <v>0</v>
      </c>
    </row>
    <row r="131" spans="1:12" ht="12.75">
      <c r="A131" s="514"/>
      <c r="B131" s="223" t="s">
        <v>221</v>
      </c>
      <c r="C131" s="224"/>
      <c r="D131" s="224"/>
      <c r="E131" s="224"/>
      <c r="F131" s="224"/>
      <c r="G131" s="224"/>
      <c r="H131" s="224"/>
      <c r="I131" s="224"/>
      <c r="J131" s="224"/>
      <c r="K131" s="225"/>
      <c r="L131" s="259"/>
    </row>
    <row r="132" spans="1:12" ht="13.5" thickBot="1">
      <c r="A132" s="515"/>
      <c r="B132" s="243" t="s">
        <v>284</v>
      </c>
      <c r="C132" s="244">
        <v>11000</v>
      </c>
      <c r="D132" s="244">
        <v>11000</v>
      </c>
      <c r="E132" s="244"/>
      <c r="F132" s="244"/>
      <c r="G132" s="244"/>
      <c r="H132" s="244"/>
      <c r="I132" s="244"/>
      <c r="J132" s="244"/>
      <c r="K132" s="245">
        <f>I132-J132</f>
        <v>0</v>
      </c>
      <c r="L132" s="260"/>
    </row>
    <row r="133" spans="1:12" ht="13.5" thickBot="1">
      <c r="A133" s="517" t="s">
        <v>116</v>
      </c>
      <c r="B133" s="518"/>
      <c r="C133" s="518"/>
      <c r="D133" s="518"/>
      <c r="E133" s="518"/>
      <c r="F133" s="518"/>
      <c r="G133" s="518"/>
      <c r="H133" s="518"/>
      <c r="I133" s="518"/>
      <c r="J133" s="518"/>
      <c r="K133" s="518"/>
      <c r="L133" s="519"/>
    </row>
    <row r="134" spans="1:12" ht="12.75">
      <c r="A134" s="276" t="s">
        <v>222</v>
      </c>
      <c r="B134" s="246" t="s">
        <v>221</v>
      </c>
      <c r="C134" s="247">
        <f>C131</f>
        <v>0</v>
      </c>
      <c r="D134" s="247">
        <f aca="true" t="shared" si="42" ref="D134:K134">D131</f>
        <v>0</v>
      </c>
      <c r="E134" s="247">
        <f t="shared" si="42"/>
        <v>0</v>
      </c>
      <c r="F134" s="247">
        <f t="shared" si="42"/>
        <v>0</v>
      </c>
      <c r="G134" s="247">
        <f t="shared" si="42"/>
        <v>0</v>
      </c>
      <c r="H134" s="247"/>
      <c r="I134" s="247"/>
      <c r="J134" s="247">
        <f t="shared" si="42"/>
        <v>0</v>
      </c>
      <c r="K134" s="247">
        <f t="shared" si="42"/>
        <v>0</v>
      </c>
      <c r="L134" s="277" t="e">
        <f>J134/C134</f>
        <v>#DIV/0!</v>
      </c>
    </row>
    <row r="135" spans="1:12" ht="12.75">
      <c r="A135" s="63" t="s">
        <v>283</v>
      </c>
      <c r="B135" s="76" t="s">
        <v>284</v>
      </c>
      <c r="C135" s="11">
        <f>C132</f>
        <v>11000</v>
      </c>
      <c r="D135" s="11">
        <f aca="true" t="shared" si="43" ref="D135:K135">D132</f>
        <v>11000</v>
      </c>
      <c r="E135" s="11">
        <f t="shared" si="43"/>
        <v>0</v>
      </c>
      <c r="F135" s="11">
        <f t="shared" si="43"/>
        <v>0</v>
      </c>
      <c r="G135" s="11">
        <f t="shared" si="43"/>
        <v>0</v>
      </c>
      <c r="H135" s="11">
        <f t="shared" si="43"/>
        <v>0</v>
      </c>
      <c r="I135" s="11">
        <f t="shared" si="43"/>
        <v>0</v>
      </c>
      <c r="J135" s="11">
        <f t="shared" si="43"/>
        <v>0</v>
      </c>
      <c r="K135" s="60">
        <f t="shared" si="43"/>
        <v>0</v>
      </c>
      <c r="L135" s="60">
        <f>L132</f>
        <v>0</v>
      </c>
    </row>
    <row r="136" spans="1:12" ht="13.5" thickBot="1">
      <c r="A136" s="4" t="s">
        <v>176</v>
      </c>
      <c r="B136" s="243"/>
      <c r="C136" s="244"/>
      <c r="D136" s="244"/>
      <c r="E136" s="244"/>
      <c r="F136" s="244"/>
      <c r="G136" s="244"/>
      <c r="H136" s="244"/>
      <c r="I136" s="244"/>
      <c r="J136" s="244"/>
      <c r="K136" s="245"/>
      <c r="L136" s="245"/>
    </row>
    <row r="137" spans="1:12" ht="24.75" customHeight="1" thickBot="1">
      <c r="A137" s="49" t="s">
        <v>127</v>
      </c>
      <c r="B137" s="50" t="s">
        <v>152</v>
      </c>
      <c r="C137" s="51">
        <f>C140+C145+C143+C150+C138</f>
        <v>142729977</v>
      </c>
      <c r="D137" s="51">
        <f aca="true" t="shared" si="44" ref="D137:K137">D140+D145+D143+D150+D138</f>
        <v>118801825</v>
      </c>
      <c r="E137" s="51">
        <f t="shared" si="44"/>
        <v>0</v>
      </c>
      <c r="F137" s="51">
        <f t="shared" si="44"/>
        <v>0</v>
      </c>
      <c r="G137" s="51">
        <f t="shared" si="44"/>
        <v>0</v>
      </c>
      <c r="H137" s="51">
        <f t="shared" si="44"/>
        <v>123951538</v>
      </c>
      <c r="I137" s="51">
        <f t="shared" si="44"/>
        <v>123951538</v>
      </c>
      <c r="J137" s="51">
        <f t="shared" si="44"/>
        <v>52810816</v>
      </c>
      <c r="K137" s="51">
        <f t="shared" si="44"/>
        <v>71140722</v>
      </c>
      <c r="L137" s="316">
        <f>J137/C137</f>
        <v>0.37000507608853606</v>
      </c>
    </row>
    <row r="138" spans="1:12" ht="12.75">
      <c r="A138" s="345" t="s">
        <v>173</v>
      </c>
      <c r="B138" s="223"/>
      <c r="C138" s="347">
        <v>500000</v>
      </c>
      <c r="D138" s="347">
        <v>500000</v>
      </c>
      <c r="E138" s="347"/>
      <c r="F138" s="347"/>
      <c r="G138" s="348"/>
      <c r="H138" s="347"/>
      <c r="I138" s="347"/>
      <c r="J138" s="347"/>
      <c r="K138" s="349">
        <f aca="true" t="shared" si="45" ref="K138:L142">H138-J138</f>
        <v>0</v>
      </c>
      <c r="L138" s="349">
        <f t="shared" si="45"/>
        <v>0</v>
      </c>
    </row>
    <row r="139" spans="1:12" ht="12.75">
      <c r="A139" s="1" t="s">
        <v>174</v>
      </c>
      <c r="B139" s="72"/>
      <c r="C139" s="10">
        <f>D139+E139+F139+G139</f>
        <v>0</v>
      </c>
      <c r="D139" s="10"/>
      <c r="E139" s="10"/>
      <c r="F139" s="10"/>
      <c r="G139" s="80"/>
      <c r="H139" s="10"/>
      <c r="I139" s="10"/>
      <c r="J139" s="10"/>
      <c r="K139" s="20">
        <f t="shared" si="45"/>
        <v>0</v>
      </c>
      <c r="L139" s="20">
        <f t="shared" si="45"/>
        <v>0</v>
      </c>
    </row>
    <row r="140" spans="1:12" ht="12.75">
      <c r="A140" s="513" t="s">
        <v>233</v>
      </c>
      <c r="B140" s="350" t="s">
        <v>152</v>
      </c>
      <c r="C140" s="351">
        <f>SUM(C141:C142)</f>
        <v>35293000</v>
      </c>
      <c r="D140" s="351">
        <f aca="true" t="shared" si="46" ref="D140:K140">SUM(D141:D142)</f>
        <v>35293000</v>
      </c>
      <c r="E140" s="351">
        <f t="shared" si="46"/>
        <v>0</v>
      </c>
      <c r="F140" s="351">
        <f t="shared" si="46"/>
        <v>0</v>
      </c>
      <c r="G140" s="351">
        <f t="shared" si="46"/>
        <v>0</v>
      </c>
      <c r="H140" s="351">
        <f t="shared" si="46"/>
        <v>32444312</v>
      </c>
      <c r="I140" s="351">
        <f t="shared" si="46"/>
        <v>32444312</v>
      </c>
      <c r="J140" s="351">
        <f t="shared" si="46"/>
        <v>11958750</v>
      </c>
      <c r="K140" s="351">
        <f t="shared" si="46"/>
        <v>20485562</v>
      </c>
      <c r="L140" s="352">
        <f aca="true" t="shared" si="47" ref="L140:L149">J140/C140</f>
        <v>0.3388419799960332</v>
      </c>
    </row>
    <row r="141" spans="1:12" ht="12.75">
      <c r="A141" s="514"/>
      <c r="B141" s="72" t="s">
        <v>181</v>
      </c>
      <c r="C141" s="10">
        <v>26523000</v>
      </c>
      <c r="D141" s="10">
        <v>26523000</v>
      </c>
      <c r="E141" s="10"/>
      <c r="F141" s="10"/>
      <c r="G141" s="80"/>
      <c r="H141" s="10">
        <v>23985386</v>
      </c>
      <c r="I141" s="10">
        <v>23985386</v>
      </c>
      <c r="J141" s="10">
        <f>7463289+152606+58464</f>
        <v>7674359</v>
      </c>
      <c r="K141" s="20">
        <f>H141-J141</f>
        <v>16311027</v>
      </c>
      <c r="L141" s="257">
        <f t="shared" si="47"/>
        <v>0.2893473211929269</v>
      </c>
    </row>
    <row r="142" spans="1:12" ht="12.75">
      <c r="A142" s="515"/>
      <c r="B142" s="72" t="s">
        <v>92</v>
      </c>
      <c r="C142" s="10">
        <v>8770000</v>
      </c>
      <c r="D142" s="10">
        <v>8770000</v>
      </c>
      <c r="E142" s="10"/>
      <c r="F142" s="10"/>
      <c r="G142" s="80"/>
      <c r="H142" s="10">
        <v>8458926</v>
      </c>
      <c r="I142" s="10">
        <v>8458926</v>
      </c>
      <c r="J142" s="10">
        <f>1168794+2775114+340483</f>
        <v>4284391</v>
      </c>
      <c r="K142" s="20">
        <f t="shared" si="45"/>
        <v>4174535</v>
      </c>
      <c r="L142" s="257">
        <f t="shared" si="47"/>
        <v>0.4885280501710376</v>
      </c>
    </row>
    <row r="143" spans="1:12" ht="12.75">
      <c r="A143" s="524" t="s">
        <v>264</v>
      </c>
      <c r="B143" s="416" t="s">
        <v>263</v>
      </c>
      <c r="C143" s="417">
        <f>C144</f>
        <v>9700000</v>
      </c>
      <c r="D143" s="417">
        <f aca="true" t="shared" si="48" ref="D143:K143">D144</f>
        <v>326128</v>
      </c>
      <c r="E143" s="417">
        <f t="shared" si="48"/>
        <v>0</v>
      </c>
      <c r="F143" s="417">
        <f t="shared" si="48"/>
        <v>0</v>
      </c>
      <c r="G143" s="417">
        <f t="shared" si="48"/>
        <v>0</v>
      </c>
      <c r="H143" s="417">
        <f t="shared" si="48"/>
        <v>500</v>
      </c>
      <c r="I143" s="417">
        <f t="shared" si="48"/>
        <v>500</v>
      </c>
      <c r="J143" s="417">
        <f t="shared" si="48"/>
        <v>500</v>
      </c>
      <c r="K143" s="417">
        <f t="shared" si="48"/>
        <v>0</v>
      </c>
      <c r="L143" s="421">
        <f>J143/C143</f>
        <v>5.154639175257732E-05</v>
      </c>
    </row>
    <row r="144" spans="1:12" ht="12.75">
      <c r="A144" s="525"/>
      <c r="B144" s="72" t="s">
        <v>92</v>
      </c>
      <c r="C144" s="10">
        <v>9700000</v>
      </c>
      <c r="D144" s="10">
        <f>321128+5000</f>
        <v>326128</v>
      </c>
      <c r="E144" s="10"/>
      <c r="F144" s="10"/>
      <c r="G144" s="80"/>
      <c r="H144" s="10">
        <v>500</v>
      </c>
      <c r="I144" s="10">
        <v>500</v>
      </c>
      <c r="J144" s="10">
        <v>500</v>
      </c>
      <c r="K144" s="80"/>
      <c r="L144" s="257">
        <f>J144/C144</f>
        <v>5.154639175257732E-05</v>
      </c>
    </row>
    <row r="145" spans="1:12" ht="12.75">
      <c r="A145" s="516" t="s">
        <v>113</v>
      </c>
      <c r="B145" s="44" t="s">
        <v>152</v>
      </c>
      <c r="C145" s="16">
        <f>C146+C148+C149+C147</f>
        <v>97237010</v>
      </c>
      <c r="D145" s="16">
        <f aca="true" t="shared" si="49" ref="D145:K145">D146+D148+D149+D147</f>
        <v>82682730</v>
      </c>
      <c r="E145" s="16">
        <f t="shared" si="49"/>
        <v>0</v>
      </c>
      <c r="F145" s="16">
        <f t="shared" si="49"/>
        <v>0</v>
      </c>
      <c r="G145" s="16">
        <f t="shared" si="49"/>
        <v>0</v>
      </c>
      <c r="H145" s="16">
        <f t="shared" si="49"/>
        <v>91506759</v>
      </c>
      <c r="I145" s="16">
        <f t="shared" si="49"/>
        <v>91506759</v>
      </c>
      <c r="J145" s="16">
        <f t="shared" si="49"/>
        <v>40851599</v>
      </c>
      <c r="K145" s="16">
        <f t="shared" si="49"/>
        <v>50655160</v>
      </c>
      <c r="L145" s="274">
        <f t="shared" si="47"/>
        <v>0.42012397337186735</v>
      </c>
    </row>
    <row r="146" spans="1:12" ht="12.75">
      <c r="A146" s="516"/>
      <c r="B146" s="77" t="s">
        <v>182</v>
      </c>
      <c r="C146" s="35">
        <v>77103200</v>
      </c>
      <c r="D146" s="35">
        <f>30103200+30000000+7288000</f>
        <v>67391200</v>
      </c>
      <c r="E146" s="35"/>
      <c r="F146" s="35"/>
      <c r="G146" s="36"/>
      <c r="H146" s="35">
        <v>76305202</v>
      </c>
      <c r="I146" s="35">
        <v>76305202</v>
      </c>
      <c r="J146" s="35">
        <v>34106497</v>
      </c>
      <c r="K146" s="20">
        <f>H146-J146</f>
        <v>42198705</v>
      </c>
      <c r="L146" s="248">
        <f t="shared" si="47"/>
        <v>0.4423486573838699</v>
      </c>
    </row>
    <row r="147" spans="1:12" ht="12.75">
      <c r="A147" s="516"/>
      <c r="B147" s="77" t="s">
        <v>92</v>
      </c>
      <c r="C147" s="35"/>
      <c r="D147" s="35"/>
      <c r="E147" s="35"/>
      <c r="F147" s="35"/>
      <c r="G147" s="36"/>
      <c r="H147" s="35"/>
      <c r="I147" s="35"/>
      <c r="J147" s="35"/>
      <c r="K147" s="20"/>
      <c r="L147" s="248"/>
    </row>
    <row r="148" spans="1:12" ht="12.75">
      <c r="A148" s="516"/>
      <c r="B148" s="75" t="s">
        <v>93</v>
      </c>
      <c r="C148" s="10">
        <v>14439580</v>
      </c>
      <c r="D148" s="10">
        <f>14439580-4777000</f>
        <v>9662580</v>
      </c>
      <c r="E148" s="10"/>
      <c r="F148" s="10"/>
      <c r="G148" s="80"/>
      <c r="H148" s="10">
        <v>10627730</v>
      </c>
      <c r="I148" s="10">
        <v>10627730</v>
      </c>
      <c r="J148" s="10">
        <v>4932270</v>
      </c>
      <c r="K148" s="20">
        <f>H148-J148</f>
        <v>5695460</v>
      </c>
      <c r="L148" s="248">
        <f t="shared" si="47"/>
        <v>0.34157987974719484</v>
      </c>
    </row>
    <row r="149" spans="1:12" ht="12.75">
      <c r="A149" s="516"/>
      <c r="B149" s="75" t="s">
        <v>94</v>
      </c>
      <c r="C149" s="10">
        <v>5694230</v>
      </c>
      <c r="D149" s="10">
        <f>5694230-65280</f>
        <v>5628950</v>
      </c>
      <c r="E149" s="10"/>
      <c r="F149" s="10"/>
      <c r="G149" s="80"/>
      <c r="H149" s="10">
        <v>4573827</v>
      </c>
      <c r="I149" s="10">
        <v>4573827</v>
      </c>
      <c r="J149" s="10">
        <f>1352087+460745</f>
        <v>1812832</v>
      </c>
      <c r="K149" s="20">
        <f>H149-J149</f>
        <v>2760995</v>
      </c>
      <c r="L149" s="248">
        <f t="shared" si="47"/>
        <v>0.3183629744495744</v>
      </c>
    </row>
    <row r="150" spans="1:12" ht="13.5" thickBot="1">
      <c r="A150" s="4" t="s">
        <v>176</v>
      </c>
      <c r="B150" s="73" t="s">
        <v>94</v>
      </c>
      <c r="C150" s="64">
        <v>-33</v>
      </c>
      <c r="D150" s="64">
        <v>-33</v>
      </c>
      <c r="E150" s="64"/>
      <c r="F150" s="64"/>
      <c r="G150" s="92"/>
      <c r="H150" s="241">
        <v>-33</v>
      </c>
      <c r="I150" s="241">
        <v>-33</v>
      </c>
      <c r="J150" s="241">
        <v>-33</v>
      </c>
      <c r="K150" s="93">
        <f>H150-J150</f>
        <v>0</v>
      </c>
      <c r="L150" s="251">
        <f>J150/C150</f>
        <v>1</v>
      </c>
    </row>
    <row r="151" spans="1:12" ht="13.5" thickBot="1">
      <c r="A151" s="517" t="s">
        <v>116</v>
      </c>
      <c r="B151" s="518"/>
      <c r="C151" s="518"/>
      <c r="D151" s="518"/>
      <c r="E151" s="518"/>
      <c r="F151" s="518"/>
      <c r="G151" s="518"/>
      <c r="H151" s="518"/>
      <c r="I151" s="518"/>
      <c r="J151" s="518"/>
      <c r="K151" s="518"/>
      <c r="L151" s="519"/>
    </row>
    <row r="152" spans="1:12" ht="12.75">
      <c r="A152" s="242" t="s">
        <v>180</v>
      </c>
      <c r="B152" s="85" t="s">
        <v>181</v>
      </c>
      <c r="C152" s="97">
        <f>C141+C146</f>
        <v>103626200</v>
      </c>
      <c r="D152" s="97">
        <f aca="true" t="shared" si="50" ref="D152:J152">D141+D146</f>
        <v>93914200</v>
      </c>
      <c r="E152" s="97">
        <f t="shared" si="50"/>
        <v>0</v>
      </c>
      <c r="F152" s="97">
        <f t="shared" si="50"/>
        <v>0</v>
      </c>
      <c r="G152" s="97">
        <f t="shared" si="50"/>
        <v>0</v>
      </c>
      <c r="H152" s="97">
        <f t="shared" si="50"/>
        <v>100290588</v>
      </c>
      <c r="I152" s="97">
        <f t="shared" si="50"/>
        <v>100290588</v>
      </c>
      <c r="J152" s="97">
        <f t="shared" si="50"/>
        <v>41780856</v>
      </c>
      <c r="K152" s="97">
        <f>K146+K141</f>
        <v>58509732</v>
      </c>
      <c r="L152" s="249">
        <f>J152/C152</f>
        <v>0.4031881512590445</v>
      </c>
    </row>
    <row r="153" spans="1:12" ht="12.75">
      <c r="A153" s="6" t="s">
        <v>210</v>
      </c>
      <c r="B153" s="76" t="s">
        <v>92</v>
      </c>
      <c r="C153" s="11">
        <f>C142+C144+C147</f>
        <v>18470000</v>
      </c>
      <c r="D153" s="11">
        <f aca="true" t="shared" si="51" ref="D153:J153">D147+D142+D138</f>
        <v>9270000</v>
      </c>
      <c r="E153" s="11">
        <f t="shared" si="51"/>
        <v>0</v>
      </c>
      <c r="F153" s="11">
        <f t="shared" si="51"/>
        <v>0</v>
      </c>
      <c r="G153" s="11">
        <f t="shared" si="51"/>
        <v>0</v>
      </c>
      <c r="H153" s="11">
        <f t="shared" si="51"/>
        <v>8458926</v>
      </c>
      <c r="I153" s="11">
        <f t="shared" si="51"/>
        <v>8458926</v>
      </c>
      <c r="J153" s="11">
        <f t="shared" si="51"/>
        <v>4284391</v>
      </c>
      <c r="K153" s="11">
        <f>K147+K142</f>
        <v>4174535</v>
      </c>
      <c r="L153" s="249">
        <f>J153/C153</f>
        <v>0.23196486193827828</v>
      </c>
    </row>
    <row r="154" spans="1:12" ht="12.75">
      <c r="A154" s="6" t="s">
        <v>128</v>
      </c>
      <c r="B154" s="76" t="s">
        <v>93</v>
      </c>
      <c r="C154" s="11">
        <f>C148</f>
        <v>14439580</v>
      </c>
      <c r="D154" s="11">
        <f aca="true" t="shared" si="52" ref="D154:K154">D148</f>
        <v>9662580</v>
      </c>
      <c r="E154" s="11">
        <f t="shared" si="52"/>
        <v>0</v>
      </c>
      <c r="F154" s="11">
        <f t="shared" si="52"/>
        <v>0</v>
      </c>
      <c r="G154" s="11">
        <f t="shared" si="52"/>
        <v>0</v>
      </c>
      <c r="H154" s="11">
        <f t="shared" si="52"/>
        <v>10627730</v>
      </c>
      <c r="I154" s="11">
        <f t="shared" si="52"/>
        <v>10627730</v>
      </c>
      <c r="J154" s="11">
        <f t="shared" si="52"/>
        <v>4932270</v>
      </c>
      <c r="K154" s="60">
        <f t="shared" si="52"/>
        <v>5695460</v>
      </c>
      <c r="L154" s="249">
        <f>J154/C154</f>
        <v>0.34157987974719484</v>
      </c>
    </row>
    <row r="155" spans="1:12" ht="12.75">
      <c r="A155" s="5" t="s">
        <v>129</v>
      </c>
      <c r="B155" s="87" t="s">
        <v>94</v>
      </c>
      <c r="C155" s="15">
        <f>C149+C150</f>
        <v>5694197</v>
      </c>
      <c r="D155" s="15">
        <f aca="true" t="shared" si="53" ref="D155:K155">D149+D150</f>
        <v>5628917</v>
      </c>
      <c r="E155" s="15">
        <f t="shared" si="53"/>
        <v>0</v>
      </c>
      <c r="F155" s="15">
        <f t="shared" si="53"/>
        <v>0</v>
      </c>
      <c r="G155" s="15">
        <f t="shared" si="53"/>
        <v>0</v>
      </c>
      <c r="H155" s="15">
        <f t="shared" si="53"/>
        <v>4573794</v>
      </c>
      <c r="I155" s="15">
        <f t="shared" si="53"/>
        <v>4573794</v>
      </c>
      <c r="J155" s="15">
        <f t="shared" si="53"/>
        <v>1812799</v>
      </c>
      <c r="K155" s="15">
        <f t="shared" si="53"/>
        <v>2760995</v>
      </c>
      <c r="L155" s="249">
        <f>J155/C155</f>
        <v>0.3183590241082281</v>
      </c>
    </row>
    <row r="156" spans="1:12" ht="13.5" thickBot="1">
      <c r="A156" s="104" t="s">
        <v>176</v>
      </c>
      <c r="B156" s="105"/>
      <c r="C156" s="106"/>
      <c r="D156" s="106"/>
      <c r="E156" s="106"/>
      <c r="F156" s="106"/>
      <c r="G156" s="106"/>
      <c r="H156" s="107"/>
      <c r="I156" s="107"/>
      <c r="J156" s="107"/>
      <c r="K156" s="108"/>
      <c r="L156" s="108"/>
    </row>
    <row r="157" spans="3:12" ht="12.75">
      <c r="C157" s="9"/>
      <c r="D157" s="8"/>
      <c r="E157" s="8"/>
      <c r="F157" s="8"/>
      <c r="G157" s="8"/>
      <c r="H157" s="8"/>
      <c r="I157" s="8"/>
      <c r="J157" s="8"/>
      <c r="K157" s="8"/>
      <c r="L157" s="8"/>
    </row>
    <row r="158" spans="3:12" ht="13.5" thickBot="1">
      <c r="C158" s="9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33.75">
      <c r="A159" s="522" t="s">
        <v>163</v>
      </c>
      <c r="B159" s="523"/>
      <c r="C159" s="395" t="s">
        <v>146</v>
      </c>
      <c r="D159" s="395" t="s">
        <v>147</v>
      </c>
      <c r="E159" s="39"/>
      <c r="F159" s="39"/>
      <c r="G159" s="39"/>
      <c r="H159" s="395" t="s">
        <v>148</v>
      </c>
      <c r="I159" s="395" t="s">
        <v>149</v>
      </c>
      <c r="J159" s="395" t="s">
        <v>150</v>
      </c>
      <c r="K159" s="395" t="s">
        <v>151</v>
      </c>
      <c r="L159" s="406" t="s">
        <v>229</v>
      </c>
    </row>
    <row r="160" spans="1:12" ht="12.75">
      <c r="A160" s="503" t="s">
        <v>110</v>
      </c>
      <c r="B160" s="504"/>
      <c r="C160" s="396">
        <f>C138+C108+C97+C75+C65+C41+C26+C18+C10+C76</f>
        <v>1310000</v>
      </c>
      <c r="D160" s="396">
        <f aca="true" t="shared" si="54" ref="D160:K160">D138+D108+D97+D75+D65+D41+D26+D18+D10+D76</f>
        <v>1310000</v>
      </c>
      <c r="E160" s="391">
        <f t="shared" si="54"/>
        <v>0</v>
      </c>
      <c r="F160" s="10">
        <f t="shared" si="54"/>
        <v>0</v>
      </c>
      <c r="G160" s="80">
        <f t="shared" si="54"/>
        <v>0</v>
      </c>
      <c r="H160" s="396">
        <f t="shared" si="54"/>
        <v>560000</v>
      </c>
      <c r="I160" s="396">
        <f t="shared" si="54"/>
        <v>560000</v>
      </c>
      <c r="J160" s="396">
        <f t="shared" si="54"/>
        <v>486500</v>
      </c>
      <c r="K160" s="396">
        <f t="shared" si="54"/>
        <v>73500</v>
      </c>
      <c r="L160" s="407">
        <f>J160/C160</f>
        <v>0.3713740458015267</v>
      </c>
    </row>
    <row r="161" spans="1:12" ht="12.75">
      <c r="A161" s="503" t="s">
        <v>111</v>
      </c>
      <c r="B161" s="504"/>
      <c r="C161" s="396">
        <f aca="true" t="shared" si="55" ref="C161:K161">C139+C109+C98+C77+C66+C42+C27+C19+C11</f>
        <v>691746</v>
      </c>
      <c r="D161" s="396">
        <f t="shared" si="55"/>
        <v>691746</v>
      </c>
      <c r="E161" s="391">
        <f t="shared" si="55"/>
        <v>0</v>
      </c>
      <c r="F161" s="10">
        <f t="shared" si="55"/>
        <v>0</v>
      </c>
      <c r="G161" s="80">
        <f t="shared" si="55"/>
        <v>0</v>
      </c>
      <c r="H161" s="396">
        <f t="shared" si="55"/>
        <v>687820</v>
      </c>
      <c r="I161" s="396">
        <f t="shared" si="55"/>
        <v>687820</v>
      </c>
      <c r="J161" s="396">
        <f t="shared" si="55"/>
        <v>687820</v>
      </c>
      <c r="K161" s="396">
        <f t="shared" si="55"/>
        <v>0</v>
      </c>
      <c r="L161" s="407">
        <f>J161/C161</f>
        <v>0.9943245063939654</v>
      </c>
    </row>
    <row r="162" spans="1:12" ht="12.75" hidden="1">
      <c r="A162" s="503" t="s">
        <v>112</v>
      </c>
      <c r="B162" s="504"/>
      <c r="C162" s="396"/>
      <c r="D162" s="396"/>
      <c r="E162" s="391"/>
      <c r="F162" s="10"/>
      <c r="G162" s="80"/>
      <c r="H162" s="396"/>
      <c r="I162" s="396"/>
      <c r="J162" s="396"/>
      <c r="K162" s="396"/>
      <c r="L162" s="407"/>
    </row>
    <row r="163" spans="1:12" ht="12.75">
      <c r="A163" s="102"/>
      <c r="B163" s="387" t="s">
        <v>220</v>
      </c>
      <c r="C163" s="396">
        <f>C140+C110+C99+C79+C43+C28</f>
        <v>89117787</v>
      </c>
      <c r="D163" s="396">
        <f aca="true" t="shared" si="56" ref="D163:K163">D140+D110+D99+D79+D43+D28+D12</f>
        <v>88984187</v>
      </c>
      <c r="E163" s="391">
        <f t="shared" si="56"/>
        <v>0</v>
      </c>
      <c r="F163" s="10">
        <f t="shared" si="56"/>
        <v>0</v>
      </c>
      <c r="G163" s="80">
        <f t="shared" si="56"/>
        <v>0</v>
      </c>
      <c r="H163" s="396">
        <f t="shared" si="56"/>
        <v>68527161</v>
      </c>
      <c r="I163" s="396">
        <f t="shared" si="56"/>
        <v>68527161</v>
      </c>
      <c r="J163" s="396">
        <f t="shared" si="56"/>
        <v>41440417</v>
      </c>
      <c r="K163" s="396">
        <f t="shared" si="56"/>
        <v>27086744</v>
      </c>
      <c r="L163" s="407">
        <f>J163/C163</f>
        <v>0.4650072493384514</v>
      </c>
    </row>
    <row r="164" spans="1:12" ht="24" customHeight="1">
      <c r="A164" s="526" t="s">
        <v>266</v>
      </c>
      <c r="B164" s="527"/>
      <c r="C164" s="396">
        <f>C143+C82</f>
        <v>11703500</v>
      </c>
      <c r="D164" s="396">
        <f aca="true" t="shared" si="57" ref="D164:K164">D143+D82</f>
        <v>2328628</v>
      </c>
      <c r="E164" s="396">
        <f t="shared" si="57"/>
        <v>0</v>
      </c>
      <c r="F164" s="396">
        <f t="shared" si="57"/>
        <v>0</v>
      </c>
      <c r="G164" s="396">
        <f t="shared" si="57"/>
        <v>0</v>
      </c>
      <c r="H164" s="396">
        <f t="shared" si="57"/>
        <v>6890</v>
      </c>
      <c r="I164" s="396">
        <f t="shared" si="57"/>
        <v>6890</v>
      </c>
      <c r="J164" s="396">
        <f t="shared" si="57"/>
        <v>500</v>
      </c>
      <c r="K164" s="396">
        <f t="shared" si="57"/>
        <v>6390</v>
      </c>
      <c r="L164" s="407">
        <f>J164/C164</f>
        <v>4.272226257102576E-05</v>
      </c>
    </row>
    <row r="165" spans="1:12" ht="27" customHeight="1">
      <c r="A165" s="526" t="s">
        <v>267</v>
      </c>
      <c r="B165" s="527"/>
      <c r="C165" s="396">
        <f>C114+C46</f>
        <v>4173354</v>
      </c>
      <c r="D165" s="396">
        <f aca="true" t="shared" si="58" ref="D165:K165">D114+D46</f>
        <v>3923694</v>
      </c>
      <c r="E165" s="396">
        <f t="shared" si="58"/>
        <v>0</v>
      </c>
      <c r="F165" s="396">
        <f t="shared" si="58"/>
        <v>0</v>
      </c>
      <c r="G165" s="396">
        <f t="shared" si="58"/>
        <v>0</v>
      </c>
      <c r="H165" s="396">
        <f t="shared" si="58"/>
        <v>508595</v>
      </c>
      <c r="I165" s="396">
        <f t="shared" si="58"/>
        <v>508595</v>
      </c>
      <c r="J165" s="396">
        <f t="shared" si="58"/>
        <v>7000</v>
      </c>
      <c r="K165" s="396">
        <f t="shared" si="58"/>
        <v>501595</v>
      </c>
      <c r="L165" s="407">
        <f>J165/C165</f>
        <v>0.0016773079877719455</v>
      </c>
    </row>
    <row r="166" spans="1:12" ht="12.75">
      <c r="A166" s="503" t="s">
        <v>113</v>
      </c>
      <c r="B166" s="504"/>
      <c r="C166" s="396">
        <f aca="true" t="shared" si="59" ref="C166:K166">C145+C130+C117+C102+C85+C49+C29+C21+C13+C68</f>
        <v>160292424</v>
      </c>
      <c r="D166" s="396">
        <f t="shared" si="59"/>
        <v>142513168</v>
      </c>
      <c r="E166" s="391">
        <f t="shared" si="59"/>
        <v>6000</v>
      </c>
      <c r="F166" s="10">
        <f t="shared" si="59"/>
        <v>0</v>
      </c>
      <c r="G166" s="80">
        <f t="shared" si="59"/>
        <v>0</v>
      </c>
      <c r="H166" s="396">
        <f t="shared" si="59"/>
        <v>133904343</v>
      </c>
      <c r="I166" s="396">
        <f t="shared" si="59"/>
        <v>133904343</v>
      </c>
      <c r="J166" s="396">
        <f t="shared" si="59"/>
        <v>74483633</v>
      </c>
      <c r="K166" s="396">
        <f t="shared" si="59"/>
        <v>59420710</v>
      </c>
      <c r="L166" s="407">
        <f>J166/C166</f>
        <v>0.46467344582673475</v>
      </c>
    </row>
    <row r="167" spans="1:12" ht="15" hidden="1">
      <c r="A167" s="28" t="s">
        <v>114</v>
      </c>
      <c r="B167" s="388" t="s">
        <v>131</v>
      </c>
      <c r="C167" s="397" t="s">
        <v>132</v>
      </c>
      <c r="D167" s="397" t="s">
        <v>133</v>
      </c>
      <c r="E167" s="392" t="s">
        <v>134</v>
      </c>
      <c r="F167" s="29" t="s">
        <v>135</v>
      </c>
      <c r="G167" s="40"/>
      <c r="H167" s="402"/>
      <c r="I167" s="402"/>
      <c r="J167" s="402"/>
      <c r="K167" s="402"/>
      <c r="L167" s="256"/>
    </row>
    <row r="168" spans="1:12" ht="15.75" hidden="1">
      <c r="A168" s="19" t="s">
        <v>110</v>
      </c>
      <c r="B168" s="389">
        <f aca="true" t="shared" si="60" ref="B168:B173">C168+D168+E168+F168</f>
        <v>1060000</v>
      </c>
      <c r="C168" s="396">
        <f>D138+D108+D97+D75+D65+D41+D26+D18+D10</f>
        <v>1060000</v>
      </c>
      <c r="D168" s="396">
        <f>E138+E108+E97+E75+E65+E41+E26+E18+E10</f>
        <v>0</v>
      </c>
      <c r="E168" s="391">
        <f>F138+F108+F97+F75+F65+F41+F26+F18+F10</f>
        <v>0</v>
      </c>
      <c r="F168" s="20">
        <f>G138+G108+G97+G75+G65+G41+G26+G18+G10</f>
        <v>0</v>
      </c>
      <c r="G168" s="40"/>
      <c r="H168" s="402"/>
      <c r="I168" s="402"/>
      <c r="J168" s="402"/>
      <c r="K168" s="402"/>
      <c r="L168" s="256"/>
    </row>
    <row r="169" spans="1:12" ht="15.75" hidden="1">
      <c r="A169" s="19" t="s">
        <v>111</v>
      </c>
      <c r="B169" s="389">
        <f t="shared" si="60"/>
        <v>691746</v>
      </c>
      <c r="C169" s="396">
        <f>D139+D109+D98+D77+D66+D42+D27+D19+D11</f>
        <v>691746</v>
      </c>
      <c r="D169" s="396">
        <f>E139+E109+E98+E77+E66+E42+E27+E19+E11</f>
        <v>0</v>
      </c>
      <c r="E169" s="391">
        <f>F139+F109+F98+F77+F66+F42+F27+F19+F11</f>
        <v>0</v>
      </c>
      <c r="F169" s="20">
        <f>G139+G109+G98+G77+G66+G42+G27+G19+G11</f>
        <v>0</v>
      </c>
      <c r="G169" s="40"/>
      <c r="H169" s="402"/>
      <c r="I169" s="402"/>
      <c r="J169" s="402"/>
      <c r="K169" s="402"/>
      <c r="L169" s="256"/>
    </row>
    <row r="170" spans="1:12" ht="15.75" hidden="1">
      <c r="A170" s="19" t="s">
        <v>112</v>
      </c>
      <c r="B170" s="389" t="e">
        <f t="shared" si="60"/>
        <v>#REF!</v>
      </c>
      <c r="C170" s="396" t="e">
        <f>D142+D111+D100+D81+D67+#REF!+D28+D20+D12</f>
        <v>#REF!</v>
      </c>
      <c r="D170" s="396" t="e">
        <f>E142+E111+E100+E81+E67+#REF!+E28+E20+E12</f>
        <v>#REF!</v>
      </c>
      <c r="E170" s="391" t="e">
        <f>F142+F111+F100+F81+F67+#REF!+F28+F20+F12</f>
        <v>#REF!</v>
      </c>
      <c r="F170" s="20" t="e">
        <f>G142+G111+G100+G81+G67+#REF!+G28+G20+G12</f>
        <v>#REF!</v>
      </c>
      <c r="G170" s="40"/>
      <c r="H170" s="402"/>
      <c r="I170" s="402"/>
      <c r="J170" s="402"/>
      <c r="K170" s="402"/>
      <c r="L170" s="256"/>
    </row>
    <row r="171" spans="1:12" ht="15.75" hidden="1">
      <c r="A171" s="19" t="s">
        <v>113</v>
      </c>
      <c r="B171" s="389">
        <f t="shared" si="60"/>
        <v>141659348</v>
      </c>
      <c r="C171" s="396">
        <f>D145+D117+D85+D68+D49+D33+D21+D13+D102</f>
        <v>141653348</v>
      </c>
      <c r="D171" s="396">
        <f>E145+E117+E85+E68+E49+E33+E21+E13+E102</f>
        <v>6000</v>
      </c>
      <c r="E171" s="391">
        <f>F145+F117+F85+F68+F49+F33+F21+F13+F102</f>
        <v>0</v>
      </c>
      <c r="F171" s="20">
        <f>G145+G117+G85+G68+G49+G33+G21+G13+G102</f>
        <v>0</v>
      </c>
      <c r="G171" s="40"/>
      <c r="H171" s="402"/>
      <c r="I171" s="402"/>
      <c r="J171" s="402"/>
      <c r="K171" s="402"/>
      <c r="L171" s="256"/>
    </row>
    <row r="172" spans="1:12" ht="15.75" hidden="1">
      <c r="A172" s="19" t="s">
        <v>114</v>
      </c>
      <c r="B172" s="389">
        <f t="shared" si="60"/>
        <v>0</v>
      </c>
      <c r="C172" s="396"/>
      <c r="D172" s="401"/>
      <c r="E172" s="393"/>
      <c r="F172" s="3"/>
      <c r="G172" s="40"/>
      <c r="H172" s="402"/>
      <c r="I172" s="402"/>
      <c r="J172" s="402"/>
      <c r="K172" s="402"/>
      <c r="L172" s="256"/>
    </row>
    <row r="173" spans="1:12" ht="16.5" hidden="1" thickBot="1">
      <c r="A173" s="21" t="s">
        <v>137</v>
      </c>
      <c r="B173" s="390" t="e">
        <f t="shared" si="60"/>
        <v>#REF!</v>
      </c>
      <c r="C173" s="398" t="e">
        <f>C172+C171+C170+C169+C168</f>
        <v>#REF!</v>
      </c>
      <c r="D173" s="398" t="e">
        <f>D172+D171+D170+D169+D168</f>
        <v>#REF!</v>
      </c>
      <c r="E173" s="394" t="e">
        <f>E172+E171+E170+E169+E168</f>
        <v>#REF!</v>
      </c>
      <c r="F173" s="18" t="e">
        <f>F172+F171+F170+F169+F168</f>
        <v>#REF!</v>
      </c>
      <c r="G173" s="40"/>
      <c r="H173" s="402"/>
      <c r="I173" s="402"/>
      <c r="J173" s="402"/>
      <c r="K173" s="402"/>
      <c r="L173" s="256"/>
    </row>
    <row r="174" spans="1:12" ht="12.75" hidden="1">
      <c r="A174" s="41"/>
      <c r="B174" s="42"/>
      <c r="C174" s="399"/>
      <c r="D174" s="402"/>
      <c r="E174" s="40"/>
      <c r="F174" s="40"/>
      <c r="G174" s="40"/>
      <c r="H174" s="402"/>
      <c r="I174" s="402"/>
      <c r="J174" s="402"/>
      <c r="K174" s="402"/>
      <c r="L174" s="256"/>
    </row>
    <row r="175" spans="1:12" ht="13.5" thickBot="1">
      <c r="A175" s="531" t="s">
        <v>186</v>
      </c>
      <c r="B175" s="532"/>
      <c r="C175" s="400">
        <f>C150+C122+C103+C89+C69+C34+C14</f>
        <v>-33</v>
      </c>
      <c r="D175" s="400">
        <f>D150+D122+D103+D89+D69+D34+D14</f>
        <v>-33</v>
      </c>
      <c r="E175" s="393"/>
      <c r="F175" s="2"/>
      <c r="G175" s="404"/>
      <c r="H175" s="405">
        <f>H14+H34+H56+H69+H89+H103+H122+H150</f>
        <v>-33</v>
      </c>
      <c r="I175" s="405">
        <f>I14+I34+I56+I69+I89+I103+I122+I150</f>
        <v>-33</v>
      </c>
      <c r="J175" s="405">
        <f>J14+J34+J56+J69+J89+J103+J122+J150</f>
        <v>-33</v>
      </c>
      <c r="K175" s="403"/>
      <c r="L175" s="441">
        <f>J175/C175</f>
        <v>1</v>
      </c>
    </row>
    <row r="176" spans="1:12" ht="18.75" thickBot="1">
      <c r="A176" s="520" t="s">
        <v>138</v>
      </c>
      <c r="B176" s="521"/>
      <c r="C176" s="322">
        <f>C160+C161+C163+C164+C165+C166+C175</f>
        <v>267288778</v>
      </c>
      <c r="D176" s="322">
        <f aca="true" t="shared" si="61" ref="D176:J176">D160+D161+D163+D164+D165+D166+D175</f>
        <v>239751390</v>
      </c>
      <c r="E176" s="322">
        <f t="shared" si="61"/>
        <v>6000</v>
      </c>
      <c r="F176" s="322">
        <f t="shared" si="61"/>
        <v>0</v>
      </c>
      <c r="G176" s="322">
        <f t="shared" si="61"/>
        <v>0</v>
      </c>
      <c r="H176" s="322">
        <f t="shared" si="61"/>
        <v>204194776</v>
      </c>
      <c r="I176" s="322">
        <f t="shared" si="61"/>
        <v>204194776</v>
      </c>
      <c r="J176" s="322">
        <f t="shared" si="61"/>
        <v>117105837</v>
      </c>
      <c r="K176" s="322">
        <f>K160+K161+K163+K164+K165+K166+K175</f>
        <v>87088939</v>
      </c>
      <c r="L176" s="440">
        <f>J176/C176</f>
        <v>0.4381247797840581</v>
      </c>
    </row>
    <row r="177" spans="1:12" s="32" customFormat="1" ht="18">
      <c r="A177" s="30"/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2.75">
      <c r="A178" s="24" t="s">
        <v>159</v>
      </c>
      <c r="C178" s="9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24" t="s">
        <v>183</v>
      </c>
      <c r="C179" s="9"/>
      <c r="D179" s="7" t="s">
        <v>160</v>
      </c>
      <c r="E179" s="8"/>
      <c r="F179" s="8"/>
      <c r="G179" s="8"/>
      <c r="H179" s="8"/>
      <c r="I179" s="8"/>
      <c r="J179" s="511" t="s">
        <v>218</v>
      </c>
      <c r="K179" s="511"/>
      <c r="L179" s="511"/>
    </row>
    <row r="180" spans="1:12" ht="12.75">
      <c r="A180" s="101" t="s">
        <v>215</v>
      </c>
      <c r="C180" s="9"/>
      <c r="D180" t="s">
        <v>161</v>
      </c>
      <c r="E180" s="8"/>
      <c r="F180" s="8"/>
      <c r="G180" s="8"/>
      <c r="H180" s="8"/>
      <c r="I180" s="8"/>
      <c r="J180" s="512" t="s">
        <v>214</v>
      </c>
      <c r="K180" s="512"/>
      <c r="L180" s="512"/>
    </row>
    <row r="183" ht="12.75" hidden="1">
      <c r="B183" s="24" t="s">
        <v>206</v>
      </c>
    </row>
    <row r="184" spans="2:12" ht="12.75" hidden="1">
      <c r="B184" s="24" t="s">
        <v>207</v>
      </c>
      <c r="C184" s="9">
        <f>C155+C154+C152+C135+C127+C126+C125+C124+C106+C95+C94+C92+C72+C63+C62+C61+C59+C39+C38+C37+C36+C16</f>
        <v>243130724</v>
      </c>
      <c r="D184" s="9">
        <f>D155+D154+D152+D135+D127+D126+D125+D124+D106+D95+D94+D92+D72+D63+D62+D61+D59+D39+D38+D37+D36+D16</f>
        <v>225207868</v>
      </c>
      <c r="E184" s="9">
        <f>E155+E154+E152+E135+E127+E126+E125+E124+E106+E95+E94+E92+E72+E63+E62+E61+E59+E39+E38+E37+E36+E16</f>
        <v>0</v>
      </c>
      <c r="F184" s="9">
        <f>F155+F154+F152+F135+F127+F126+F125+F124+F106+F95+F94+F92+F72+F63+F62+F61+F59+F39+F38+F37+F36+F16</f>
        <v>0</v>
      </c>
      <c r="G184" s="9">
        <f>G155+G154+G152+G135+G127+G126+G125+G124+G106+G95+G94+G92+G72+G63+G62+G61+G59+G39+G38+G37+G36+G16</f>
        <v>0</v>
      </c>
      <c r="H184" s="9">
        <f>H155+H154+H152+H135+H127+H126+H125+H124+H106+H95+H94+H92+H72+H63+H62+H61+H59+H39+H38+H37+H36+H16+H156+H128</f>
        <v>195186088</v>
      </c>
      <c r="I184" s="9">
        <f>I155+I154+I152+I135+I127+I126+I125+I124+I106+I95+I94+I92+I72+I63+I62+I61+I59+I39+I38+I37+I36+I16+I156+I128</f>
        <v>195186088</v>
      </c>
      <c r="J184" s="9">
        <f>J155+J154+J152+J135+J127+J126+J125+J124+J106+J95+J94+J92+J72+J63+J62+J61+J59+J39+J38+J37+J36+J16+J156+J128</f>
        <v>112308639</v>
      </c>
      <c r="K184" s="9">
        <f>K155+K154+K152+K135+K127+K126+K125+K124+K106+K95+K94+K92+K72+K63+K62+K61+K59+K39+K38+K37+K36+K16+K156+K128</f>
        <v>82877449</v>
      </c>
      <c r="L184" s="9">
        <f>L155+L154+L152+L135+L127+L126+L125+L124+L106+L95+L94+L92+L72+L63+L62+L61+L59+L39+L38+L37+L36+L16+L156+L128</f>
        <v>10.62565746446585</v>
      </c>
    </row>
    <row r="186" spans="1:9" ht="12.75">
      <c r="A186" s="410"/>
      <c r="I186" s="411"/>
    </row>
  </sheetData>
  <sheetProtection/>
  <mergeCells count="52">
    <mergeCell ref="A4:L4"/>
    <mergeCell ref="A5:L5"/>
    <mergeCell ref="A15:L15"/>
    <mergeCell ref="A23:L23"/>
    <mergeCell ref="A35:L35"/>
    <mergeCell ref="A57:L57"/>
    <mergeCell ref="B18:B22"/>
    <mergeCell ref="A7:B7"/>
    <mergeCell ref="A29:A33"/>
    <mergeCell ref="A43:A45"/>
    <mergeCell ref="A166:B166"/>
    <mergeCell ref="A162:B162"/>
    <mergeCell ref="A79:A81"/>
    <mergeCell ref="A90:L90"/>
    <mergeCell ref="A164:B164"/>
    <mergeCell ref="A123:L123"/>
    <mergeCell ref="A70:K70"/>
    <mergeCell ref="A85:A88"/>
    <mergeCell ref="A99:A101"/>
    <mergeCell ref="A65:A66"/>
    <mergeCell ref="A49:A55"/>
    <mergeCell ref="A82:A84"/>
    <mergeCell ref="A176:B176"/>
    <mergeCell ref="A130:A132"/>
    <mergeCell ref="A159:B159"/>
    <mergeCell ref="A133:L133"/>
    <mergeCell ref="A143:A144"/>
    <mergeCell ref="A114:A116"/>
    <mergeCell ref="A165:B165"/>
    <mergeCell ref="A161:B161"/>
    <mergeCell ref="A117:A121"/>
    <mergeCell ref="A175:B175"/>
    <mergeCell ref="F46:F48"/>
    <mergeCell ref="G46:G48"/>
    <mergeCell ref="H46:H48"/>
    <mergeCell ref="A104:L104"/>
    <mergeCell ref="J179:L179"/>
    <mergeCell ref="J180:L180"/>
    <mergeCell ref="A140:A142"/>
    <mergeCell ref="A145:A149"/>
    <mergeCell ref="A110:A113"/>
    <mergeCell ref="A151:L151"/>
    <mergeCell ref="I46:I48"/>
    <mergeCell ref="J46:J48"/>
    <mergeCell ref="K46:K48"/>
    <mergeCell ref="L46:L48"/>
    <mergeCell ref="A160:B160"/>
    <mergeCell ref="A46:A48"/>
    <mergeCell ref="B46:B48"/>
    <mergeCell ref="C46:C48"/>
    <mergeCell ref="D46:D48"/>
    <mergeCell ref="E46:E48"/>
  </mergeCells>
  <printOptions/>
  <pageMargins left="0.4330708661417323" right="0.2362204724409449" top="1.15" bottom="0.6692913385826772" header="0.7086614173228347" footer="0.5118110236220472"/>
  <pageSetup fitToHeight="4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2023-10-17T07:09:54Z</cp:lastPrinted>
  <dcterms:created xsi:type="dcterms:W3CDTF">2011-02-23T07:07:11Z</dcterms:created>
  <dcterms:modified xsi:type="dcterms:W3CDTF">2023-10-17T07:09:55Z</dcterms:modified>
  <cp:category/>
  <cp:version/>
  <cp:contentType/>
  <cp:contentStatus/>
</cp:coreProperties>
</file>